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WPF" sheetId="1" r:id="rId1"/>
    <sheet name="Wlk. inform." sheetId="2" r:id="rId2"/>
    <sheet name="Arkusz3" sheetId="3" r:id="rId3"/>
  </sheets>
  <definedNames>
    <definedName name="_xlnm.Print_Titles" localSheetId="0">WPF!$7:$7</definedName>
  </definedNames>
  <calcPr calcId="145621"/>
</workbook>
</file>

<file path=xl/calcChain.xml><?xml version="1.0" encoding="utf-8"?>
<calcChain xmlns="http://schemas.openxmlformats.org/spreadsheetml/2006/main">
  <c r="C19" i="1" l="1"/>
  <c r="C23" i="1" l="1"/>
  <c r="C22" i="1"/>
  <c r="C16" i="1"/>
  <c r="C15" i="1"/>
  <c r="C14" i="1"/>
  <c r="C12" i="1"/>
  <c r="C11" i="1"/>
  <c r="C10" i="1"/>
  <c r="C9" i="1"/>
  <c r="D20" i="1" l="1"/>
  <c r="D19" i="1"/>
  <c r="C24" i="1"/>
  <c r="C20" i="1"/>
  <c r="C13" i="1"/>
  <c r="F4" i="2" l="1"/>
  <c r="D23" i="1" l="1"/>
  <c r="D24" i="1" l="1"/>
  <c r="C53" i="1" l="1"/>
  <c r="F2" i="2"/>
  <c r="H44" i="1"/>
  <c r="G44" i="1"/>
  <c r="F44" i="1"/>
  <c r="E44" i="1"/>
  <c r="D44" i="1"/>
  <c r="C44" i="1"/>
  <c r="H43" i="1"/>
  <c r="D43" i="1"/>
  <c r="C43" i="1"/>
  <c r="H42" i="1"/>
  <c r="D42" i="1"/>
  <c r="C42" i="1"/>
  <c r="G41" i="1"/>
  <c r="F41" i="1"/>
  <c r="E41" i="1"/>
  <c r="D41" i="1"/>
  <c r="C41" i="1"/>
  <c r="H38" i="1"/>
  <c r="G38" i="1"/>
  <c r="F38" i="1"/>
  <c r="E38" i="1"/>
  <c r="C37" i="1"/>
  <c r="H36" i="1"/>
  <c r="G36" i="1"/>
  <c r="F36" i="1"/>
  <c r="E36" i="1"/>
  <c r="D36" i="1"/>
  <c r="C36" i="1"/>
  <c r="D35" i="1"/>
  <c r="D38" i="1" s="1"/>
  <c r="C35" i="1"/>
  <c r="C38" i="1" s="1"/>
  <c r="H34" i="1"/>
  <c r="G34" i="1"/>
  <c r="F34" i="1"/>
  <c r="E34" i="1"/>
  <c r="D34" i="1"/>
  <c r="C34" i="1"/>
  <c r="H32" i="1"/>
  <c r="G31" i="1"/>
  <c r="F31" i="1"/>
  <c r="E31" i="1"/>
  <c r="D31" i="1"/>
  <c r="C31" i="1"/>
  <c r="G30" i="1"/>
  <c r="F30" i="1"/>
  <c r="E30" i="1"/>
  <c r="D30" i="1"/>
  <c r="H29" i="1"/>
  <c r="C29" i="1"/>
  <c r="G28" i="1"/>
  <c r="F28" i="1"/>
  <c r="E28" i="1"/>
  <c r="D28" i="1"/>
  <c r="D32" i="1" s="1"/>
  <c r="C28" i="1"/>
  <c r="H25" i="1"/>
  <c r="G23" i="1"/>
  <c r="F23" i="1"/>
  <c r="E23" i="1"/>
  <c r="G22" i="1"/>
  <c r="F22" i="1"/>
  <c r="F25" i="1" s="1"/>
  <c r="E22" i="1"/>
  <c r="D22" i="1"/>
  <c r="D25" i="1" s="1"/>
  <c r="G20" i="1"/>
  <c r="F20" i="1"/>
  <c r="E20" i="1"/>
  <c r="G19" i="1"/>
  <c r="F19" i="1"/>
  <c r="E19" i="1"/>
  <c r="G18" i="1"/>
  <c r="F18" i="1"/>
  <c r="E18" i="1"/>
  <c r="D18" i="1"/>
  <c r="C18" i="1"/>
  <c r="G17" i="1"/>
  <c r="F17" i="1"/>
  <c r="E17" i="1"/>
  <c r="D17" i="1"/>
  <c r="C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G13" i="1"/>
  <c r="F13" i="1"/>
  <c r="E13" i="1"/>
  <c r="D13" i="1"/>
  <c r="G12" i="1"/>
  <c r="F12" i="1"/>
  <c r="D12" i="1"/>
  <c r="G11" i="1"/>
  <c r="H11" i="1" s="1"/>
  <c r="F11" i="1"/>
  <c r="E11" i="1"/>
  <c r="D11" i="1"/>
  <c r="G10" i="1"/>
  <c r="F10" i="1"/>
  <c r="E10" i="1"/>
  <c r="D10" i="1"/>
  <c r="H9" i="1"/>
  <c r="G9" i="1"/>
  <c r="F9" i="1"/>
  <c r="E9" i="1"/>
  <c r="D9" i="1"/>
  <c r="F8" i="1"/>
  <c r="C8" i="1"/>
  <c r="E25" i="1" l="1"/>
  <c r="E26" i="1" s="1"/>
  <c r="C32" i="1"/>
  <c r="G32" i="1"/>
  <c r="E8" i="1"/>
  <c r="G25" i="1"/>
  <c r="E32" i="1"/>
  <c r="F32" i="1"/>
  <c r="C33" i="1"/>
  <c r="C21" i="1" s="1"/>
  <c r="C39" i="1" s="1"/>
  <c r="C48" i="1"/>
  <c r="C49" i="1"/>
  <c r="E33" i="1"/>
  <c r="E21" i="1" s="1"/>
  <c r="E39" i="1" s="1"/>
  <c r="H8" i="1"/>
  <c r="K5" i="2" s="1"/>
  <c r="C25" i="1"/>
  <c r="C26" i="1" s="1"/>
  <c r="F26" i="1"/>
  <c r="F33" i="1"/>
  <c r="F21" i="1" s="1"/>
  <c r="F39" i="1" s="1"/>
  <c r="G8" i="1"/>
  <c r="J5" i="2" s="1"/>
  <c r="D8" i="1"/>
  <c r="D48" i="1" s="1"/>
  <c r="E13" i="2"/>
  <c r="F13" i="2"/>
  <c r="E12" i="2"/>
  <c r="C12" i="2"/>
  <c r="D12" i="2"/>
  <c r="B12" i="2"/>
  <c r="C11" i="2"/>
  <c r="D11" i="2"/>
  <c r="E11" i="2"/>
  <c r="B11" i="2"/>
  <c r="G8" i="2"/>
  <c r="H8" i="2"/>
  <c r="I8" i="2"/>
  <c r="J8" i="2"/>
  <c r="K8" i="2"/>
  <c r="F8" i="2"/>
  <c r="G7" i="2"/>
  <c r="H7" i="2"/>
  <c r="I7" i="2"/>
  <c r="J7" i="2"/>
  <c r="K7" i="2"/>
  <c r="F7" i="2"/>
  <c r="G6" i="2"/>
  <c r="H6" i="2"/>
  <c r="I6" i="2"/>
  <c r="J6" i="2"/>
  <c r="K6" i="2"/>
  <c r="F6" i="2"/>
  <c r="G5" i="2"/>
  <c r="H5" i="2"/>
  <c r="I5" i="2"/>
  <c r="F5" i="2"/>
  <c r="G4" i="2"/>
  <c r="H4" i="2"/>
  <c r="I4" i="2"/>
  <c r="J4" i="2"/>
  <c r="K4" i="2"/>
  <c r="G3" i="2"/>
  <c r="H3" i="2"/>
  <c r="I3" i="2"/>
  <c r="J3" i="2"/>
  <c r="K3" i="2"/>
  <c r="F3" i="2"/>
  <c r="G2" i="2"/>
  <c r="G12" i="2" s="1"/>
  <c r="D52" i="1" s="1"/>
  <c r="H2" i="2"/>
  <c r="I2" i="2"/>
  <c r="I12" i="2" s="1"/>
  <c r="J2" i="2"/>
  <c r="K2" i="2"/>
  <c r="K12" i="2" l="1"/>
  <c r="H52" i="1" s="1"/>
  <c r="F52" i="1"/>
  <c r="K11" i="2"/>
  <c r="G11" i="2"/>
  <c r="D54" i="1" s="1"/>
  <c r="H12" i="2"/>
  <c r="E52" i="1" s="1"/>
  <c r="I11" i="2"/>
  <c r="H11" i="2"/>
  <c r="F11" i="2"/>
  <c r="C54" i="1" s="1"/>
  <c r="C55" i="1" s="1"/>
  <c r="F12" i="2"/>
  <c r="J11" i="2"/>
  <c r="J12" i="2"/>
  <c r="D33" i="1"/>
  <c r="D21" i="1" s="1"/>
  <c r="D39" i="1" s="1"/>
  <c r="D26" i="1"/>
  <c r="H33" i="1"/>
  <c r="H21" i="1" s="1"/>
  <c r="H39" i="1" s="1"/>
  <c r="H26" i="1"/>
  <c r="G33" i="1"/>
  <c r="G21" i="1" s="1"/>
  <c r="G39" i="1" s="1"/>
  <c r="G26" i="1"/>
  <c r="D49" i="1"/>
  <c r="K13" i="2" l="1"/>
  <c r="G52" i="1"/>
  <c r="E54" i="1"/>
  <c r="E45" i="1"/>
  <c r="H54" i="1"/>
  <c r="H45" i="1"/>
  <c r="G45" i="1"/>
  <c r="G54" i="1"/>
  <c r="F54" i="1"/>
  <c r="F45" i="1"/>
  <c r="J13" i="2"/>
  <c r="G13" i="2"/>
  <c r="D53" i="1" s="1"/>
  <c r="D55" i="1" s="1"/>
  <c r="C52" i="1"/>
  <c r="I13" i="2"/>
  <c r="H13" i="2"/>
  <c r="G55" i="1" l="1"/>
  <c r="G53" i="1"/>
  <c r="G46" i="1"/>
  <c r="H53" i="1"/>
  <c r="H55" i="1" s="1"/>
  <c r="H46" i="1"/>
  <c r="E46" i="1"/>
  <c r="E53" i="1"/>
  <c r="E55" i="1" s="1"/>
  <c r="F53" i="1"/>
  <c r="F55" i="1" s="1"/>
  <c r="F46" i="1"/>
</calcChain>
</file>

<file path=xl/comments1.xml><?xml version="1.0" encoding="utf-8"?>
<comments xmlns="http://schemas.openxmlformats.org/spreadsheetml/2006/main">
  <authors>
    <author>Autor</author>
  </authors>
  <commentList>
    <comment ref="B15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Autor:
</t>
        </r>
        <r>
          <rPr>
            <b/>
            <sz val="11"/>
            <color indexed="81"/>
            <rFont val="Tahoma"/>
            <family val="2"/>
            <charset val="238"/>
          </rPr>
          <t xml:space="preserve">Wynagrodzenia ogółem bez wynagrodzeń unijnych (limity) </t>
        </r>
        <r>
          <rPr>
            <b/>
            <sz val="12"/>
            <color indexed="81"/>
            <rFont val="Calibri"/>
            <family val="2"/>
            <charset val="238"/>
          </rPr>
          <t>§</t>
        </r>
        <r>
          <rPr>
            <b/>
            <sz val="12"/>
            <color indexed="81"/>
            <rFont val="Tahoma"/>
            <family val="2"/>
            <charset val="238"/>
          </rPr>
          <t xml:space="preserve">401-412 i </t>
        </r>
        <r>
          <rPr>
            <b/>
            <sz val="12"/>
            <color indexed="81"/>
            <rFont val="Calibri"/>
            <family val="2"/>
            <charset val="238"/>
          </rPr>
          <t>§</t>
        </r>
        <r>
          <rPr>
            <b/>
            <sz val="12"/>
            <color indexed="81"/>
            <rFont val="Tahoma"/>
            <family val="2"/>
            <charset val="238"/>
          </rPr>
          <t xml:space="preserve">417 -418 i </t>
        </r>
        <r>
          <rPr>
            <b/>
            <sz val="12"/>
            <color indexed="81"/>
            <rFont val="Calibri"/>
            <family val="2"/>
            <charset val="238"/>
          </rPr>
          <t>§</t>
        </r>
        <r>
          <rPr>
            <b/>
            <sz val="12"/>
            <color indexed="81"/>
            <rFont val="Tahoma"/>
            <family val="2"/>
            <charset val="238"/>
          </rPr>
          <t>478</t>
        </r>
      </text>
    </comment>
    <comment ref="B41" authorId="0">
      <text>
        <r>
          <rPr>
            <b/>
            <sz val="11"/>
            <color indexed="81"/>
            <rFont val="Tahoma"/>
            <family val="2"/>
            <charset val="238"/>
          </rPr>
          <t>Autor:
Kwoty na koniec danego roku (po spłacie)</t>
        </r>
      </text>
    </comment>
    <comment ref="B42" authorId="0">
      <text>
        <r>
          <rPr>
            <b/>
            <sz val="11"/>
            <color indexed="81"/>
            <rFont val="Tahoma"/>
            <family val="2"/>
            <charset val="238"/>
          </rPr>
          <t>Autor:
Kwoty na koniec danego roku (po spłacie)</t>
        </r>
      </text>
    </comment>
    <comment ref="B43" authorId="0">
      <text>
        <r>
          <rPr>
            <b/>
            <sz val="11"/>
            <color indexed="81"/>
            <rFont val="Tahoma"/>
            <family val="2"/>
            <charset val="238"/>
          </rPr>
          <t>Autor:
Raty kapitałowe wg harmonogramu spłat. Kwota przypadająca do spłaty w danym roku</t>
        </r>
      </text>
    </comment>
  </commentList>
</comments>
</file>

<file path=xl/sharedStrings.xml><?xml version="1.0" encoding="utf-8"?>
<sst xmlns="http://schemas.openxmlformats.org/spreadsheetml/2006/main" count="123" uniqueCount="71">
  <si>
    <t>Załącznik nr 1</t>
  </si>
  <si>
    <t>Rady Powiatu Brzeskiego</t>
  </si>
  <si>
    <t>Wieloletnia prognoza finansowa na lata 2012 - 2017</t>
  </si>
  <si>
    <t>Lp.</t>
  </si>
  <si>
    <t>Wyszczególnienie</t>
  </si>
  <si>
    <t>Dochody ogółem, z tego:</t>
  </si>
  <si>
    <t>a</t>
  </si>
  <si>
    <t>dochody bieżące, w tym:</t>
  </si>
  <si>
    <t>b</t>
  </si>
  <si>
    <t>środki z UE</t>
  </si>
  <si>
    <t>c</t>
  </si>
  <si>
    <t>dochody majątkowe, w tym:</t>
  </si>
  <si>
    <t>d</t>
  </si>
  <si>
    <t>e</t>
  </si>
  <si>
    <t>ze sprzedaży majątku</t>
  </si>
  <si>
    <t>Wydatki bieżące, w tym:</t>
  </si>
  <si>
    <t xml:space="preserve">na wynagrodzenia i składki od nich naliczane </t>
  </si>
  <si>
    <t xml:space="preserve">związane z funkcjonowaniem organów JST     </t>
  </si>
  <si>
    <t>z tytułu gwarancji i poręczeń, w tym:</t>
  </si>
  <si>
    <t>gwarancje i poręczenia podlegające wyłączeniu z limitów spłaty zobowiązań z art. 243 ufp/169 sufp</t>
  </si>
  <si>
    <t xml:space="preserve">wydatki bieżące objęte limitem art. 226 ust. 4 ufp      </t>
  </si>
  <si>
    <t>f</t>
  </si>
  <si>
    <t>na projekty realizowane przy udziale środków, o których mowa w art. 5 ust. 1 pkt 2</t>
  </si>
  <si>
    <t>Środki do dyspozycji na wydatki majątkowe (12-13-14)</t>
  </si>
  <si>
    <t>Wydatki majątkowe, w tym:</t>
  </si>
  <si>
    <t>wydatki majątkowe objęte limitem art. 226 ust. 4 ufp</t>
  </si>
  <si>
    <t>Wydatki ogółem (2+4)</t>
  </si>
  <si>
    <t>Wynik budżetu (1-5)</t>
  </si>
  <si>
    <t>Sposób sfinansowania deficytu/przeznaczenia nadwyżki</t>
  </si>
  <si>
    <t>x</t>
  </si>
  <si>
    <t>Nadwyżka budżetowa z lat ubiegłych plus wolne środki, zgodnie z art. 217 ufp, w tym:</t>
  </si>
  <si>
    <r>
      <t>Nadwyżka budżetowa z lat ubiegłych plus wolne środki, zgodnie z art. 217</t>
    </r>
    <r>
      <rPr>
        <sz val="12"/>
        <rFont val="Arial CE"/>
        <charset val="238"/>
      </rPr>
      <t>, angażowane na pokrycie deficytu budżetu roku bieżącego</t>
    </r>
  </si>
  <si>
    <t xml:space="preserve">Inne przychody niezwiązane z zaciągnięciem długu </t>
  </si>
  <si>
    <t>Przychody (kredyty, pożyczki, emisje obligacji)</t>
  </si>
  <si>
    <t>Przychody budżetu</t>
  </si>
  <si>
    <t>Środki do dyspozycji (1-2+8+9+13b)</t>
  </si>
  <si>
    <t>Spłata i obsługa długu, z tego:</t>
  </si>
  <si>
    <t>rozchody z tytułu spłaty rat kapitałowych oraz wykup papierów wartościowych</t>
  </si>
  <si>
    <t>wydatki bieżące na obsługę długu</t>
  </si>
  <si>
    <t>Inne rozchody (bez spłaty długu np. udzielane pożyczki)</t>
  </si>
  <si>
    <t>Rozchodu budżetu (13a+14)</t>
  </si>
  <si>
    <t>Wynik finansowy budżetu (3-4+10)</t>
  </si>
  <si>
    <t xml:space="preserve">Kwota długu, w tym: </t>
  </si>
  <si>
    <t>łączna kwota wyłączeń z art. 243 ust. 3 pkt 1 ufp oraz z art. 170 ust. 3 sufp</t>
  </si>
  <si>
    <t>kwota wyłączeń z art. 243 ust. 3 pkt 1 ufp oraz z art. 170 ust. 3 sufp przypadająca na dany rok budżetowy</t>
  </si>
  <si>
    <t xml:space="preserve">Kwota zobowiązań współtworzonego przez jst przypadających do spłaty w danym roku budżetowym podlegające doliczeniu zgodnie z art. 244 ufp </t>
  </si>
  <si>
    <t xml:space="preserve">Planowana łączna kwota spłaty zobowiązań </t>
  </si>
  <si>
    <t xml:space="preserve">Maksymalny dopuszczalny wskaźnik spłaty z art. 243 ufp </t>
  </si>
  <si>
    <t xml:space="preserve">Spełnienie wskaźnika spłaty z art. 243 ufp po uwzględnieniu art. 244 ufp                                                 </t>
  </si>
  <si>
    <t>TAK</t>
  </si>
  <si>
    <t xml:space="preserve">Planowana łączna kwota spłaty zobowiązań/dochody ogółem - max 15% z  art. 169 sufp </t>
  </si>
  <si>
    <t xml:space="preserve">Zadłużenie/dochody ogółem ((17-17a):1) - max 60% z art. 170 sufp </t>
  </si>
  <si>
    <t xml:space="preserve">(Dochody bieżące + sprzedaż majątku - wydatki bieżące)/ dochody ogółem (Db + Sm - Wb)/D - dla danego roku </t>
  </si>
  <si>
    <r>
      <t>Średnia arytmetyczna pozycji pierwszej z ostatnich trzech lat (</t>
    </r>
    <r>
      <rPr>
        <b/>
        <i/>
        <sz val="12"/>
        <rFont val="Arial CE"/>
        <charset val="238"/>
      </rPr>
      <t>prawa strona wzoru)</t>
    </r>
  </si>
  <si>
    <r>
      <t>Wskaźnik zadłużenia (</t>
    </r>
    <r>
      <rPr>
        <b/>
        <i/>
        <sz val="12"/>
        <rFont val="Arial CE"/>
        <charset val="238"/>
      </rPr>
      <t>lewa strona wzoru)</t>
    </r>
  </si>
  <si>
    <t>Ocena spełnienia warunku uchwalenia budżetu z art. 243 ufp</t>
  </si>
  <si>
    <t>III kw. 2011</t>
  </si>
  <si>
    <r>
      <t xml:space="preserve">Dochody ze sprzedaży majątku </t>
    </r>
    <r>
      <rPr>
        <b/>
        <sz val="10"/>
        <rFont val="Arial CE"/>
        <charset val="238"/>
      </rPr>
      <t>Sm</t>
    </r>
  </si>
  <si>
    <r>
      <t xml:space="preserve">Wydatki bieżące  </t>
    </r>
    <r>
      <rPr>
        <b/>
        <sz val="10"/>
        <rFont val="Arial CE"/>
        <charset val="238"/>
      </rPr>
      <t xml:space="preserve">Wb </t>
    </r>
  </si>
  <si>
    <r>
      <t xml:space="preserve">Dochody ogółem  </t>
    </r>
    <r>
      <rPr>
        <b/>
        <sz val="10"/>
        <rFont val="Arial CE"/>
        <charset val="238"/>
      </rPr>
      <t>D</t>
    </r>
  </si>
  <si>
    <r>
      <t xml:space="preserve">rozchody z tytułu spłaty rat kapitałowych oraz wykup papierów wartościowych  </t>
    </r>
    <r>
      <rPr>
        <b/>
        <sz val="10"/>
        <rFont val="Arial CE"/>
        <charset val="238"/>
      </rPr>
      <t>R</t>
    </r>
  </si>
  <si>
    <r>
      <t xml:space="preserve">wydatki bieżące na obsługę długu  </t>
    </r>
    <r>
      <rPr>
        <b/>
        <sz val="10"/>
        <rFont val="Arial CE"/>
        <charset val="238"/>
      </rPr>
      <t>O</t>
    </r>
  </si>
  <si>
    <t>Nadwyżka budż + wolne środki</t>
  </si>
  <si>
    <r>
      <t xml:space="preserve">Lewa strona wzoru   </t>
    </r>
    <r>
      <rPr>
        <b/>
        <sz val="10"/>
        <rFont val="Arial CE"/>
        <charset val="238"/>
      </rPr>
      <t>R+O/D</t>
    </r>
  </si>
  <si>
    <r>
      <t xml:space="preserve">Db + Sm - Wb/ D </t>
    </r>
    <r>
      <rPr>
        <sz val="10"/>
        <rFont val="Arial CE"/>
        <charset val="238"/>
      </rPr>
      <t>na dany rok</t>
    </r>
  </si>
  <si>
    <r>
      <t xml:space="preserve">Prawa strona wzoru </t>
    </r>
    <r>
      <rPr>
        <sz val="10"/>
        <rFont val="Arial CE"/>
        <charset val="238"/>
      </rPr>
      <t xml:space="preserve">                             (średnia artymetyczna)</t>
    </r>
  </si>
  <si>
    <t>Spełnienie wskaźnika</t>
  </si>
  <si>
    <t>art.. 242 ufp          Wydatki bieżące               &lt;= dochody bieżące + nadwyżka budżetowa z lat ubiegłych plus wolne środki</t>
  </si>
  <si>
    <r>
      <t xml:space="preserve">Dochody bieżące </t>
    </r>
    <r>
      <rPr>
        <b/>
        <sz val="10"/>
        <rFont val="Arial CE"/>
        <charset val="238"/>
      </rPr>
      <t>Db</t>
    </r>
  </si>
  <si>
    <t>do uchwały nr XXIV/167/12</t>
  </si>
  <si>
    <t>z dnia 12 października 2012r.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</si>
</sst>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2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sz val="12"/>
      <name val="Calibri"/>
      <family val="2"/>
      <charset val="238"/>
    </font>
    <font>
      <b/>
      <i/>
      <sz val="12"/>
      <name val="Arial CE"/>
      <charset val="238"/>
    </font>
    <font>
      <sz val="11"/>
      <name val="Calibri"/>
      <family val="2"/>
      <scheme val="minor"/>
    </font>
    <font>
      <i/>
      <sz val="11"/>
      <name val="Arial CE"/>
      <charset val="238"/>
    </font>
    <font>
      <sz val="12"/>
      <color theme="1"/>
      <name val="Arial CE"/>
      <charset val="238"/>
    </font>
    <font>
      <b/>
      <sz val="12"/>
      <name val="Arial"/>
      <family val="2"/>
      <charset val="238"/>
    </font>
    <font>
      <b/>
      <sz val="11"/>
      <color indexed="10"/>
      <name val="Arial CE"/>
      <charset val="238"/>
    </font>
    <font>
      <b/>
      <i/>
      <sz val="11"/>
      <color indexed="10"/>
      <name val="Arial CE"/>
      <charset val="238"/>
    </font>
    <font>
      <sz val="11"/>
      <color theme="8" tint="-0.249977111117893"/>
      <name val="Arial CE"/>
      <charset val="238"/>
    </font>
    <font>
      <sz val="11"/>
      <color rgb="FFFF0000"/>
      <name val="Arial CE"/>
      <charset val="238"/>
    </font>
    <font>
      <b/>
      <i/>
      <sz val="11"/>
      <name val="Arial CE"/>
      <charset val="238"/>
    </font>
    <font>
      <sz val="10"/>
      <color indexed="12"/>
      <name val="Arial CE"/>
      <charset val="238"/>
    </font>
    <font>
      <b/>
      <sz val="14"/>
      <name val="Arial CE"/>
      <charset val="238"/>
    </font>
    <font>
      <b/>
      <sz val="12"/>
      <color rgb="FF0070C0"/>
      <name val="Arial CE"/>
      <charset val="238"/>
    </font>
    <font>
      <sz val="10"/>
      <color indexed="10"/>
      <name val="Arial CE"/>
      <charset val="238"/>
    </font>
    <font>
      <b/>
      <sz val="10"/>
      <color indexed="8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sz val="10"/>
      <color rgb="FFFF0000"/>
      <name val="Arial CE"/>
      <charset val="238"/>
    </font>
    <font>
      <sz val="10"/>
      <color theme="8" tint="-0.249977111117893"/>
      <name val="Arial CE"/>
      <charset val="238"/>
    </font>
    <font>
      <b/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2"/>
      <color indexed="81"/>
      <name val="Calibri"/>
      <family val="2"/>
      <charset val="238"/>
    </font>
    <font>
      <b/>
      <sz val="12"/>
      <color indexed="81"/>
      <name val="Tahoma"/>
      <family val="2"/>
      <charset val="238"/>
    </font>
    <font>
      <b/>
      <sz val="12"/>
      <color rgb="FFFF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3" fontId="3" fillId="4" borderId="21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left" vertical="center" wrapText="1"/>
    </xf>
    <xf numFmtId="3" fontId="3" fillId="0" borderId="27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3" fontId="3" fillId="4" borderId="29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vertical="center"/>
    </xf>
    <xf numFmtId="3" fontId="8" fillId="3" borderId="18" xfId="0" applyNumberFormat="1" applyFont="1" applyFill="1" applyBorder="1" applyAlignment="1">
      <alignment vertical="center"/>
    </xf>
    <xf numFmtId="3" fontId="8" fillId="4" borderId="29" xfId="0" applyNumberFormat="1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3" borderId="20" xfId="0" applyNumberFormat="1" applyFont="1" applyFill="1" applyBorder="1" applyAlignment="1">
      <alignment vertical="center"/>
    </xf>
    <xf numFmtId="3" fontId="3" fillId="4" borderId="30" xfId="0" applyNumberFormat="1" applyFont="1" applyFill="1" applyBorder="1" applyAlignment="1">
      <alignment horizontal="left" vertical="center" wrapText="1"/>
    </xf>
    <xf numFmtId="3" fontId="3" fillId="0" borderId="3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4" borderId="32" xfId="0" applyNumberFormat="1" applyFont="1" applyFill="1" applyBorder="1" applyAlignment="1">
      <alignment horizontal="left"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3" fontId="3" fillId="4" borderId="32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3" fontId="6" fillId="3" borderId="33" xfId="0" applyNumberFormat="1" applyFont="1" applyFill="1" applyBorder="1" applyAlignment="1">
      <alignment vertical="center"/>
    </xf>
    <xf numFmtId="3" fontId="3" fillId="4" borderId="34" xfId="0" applyNumberFormat="1" applyFont="1" applyFill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3" fontId="8" fillId="0" borderId="35" xfId="0" applyNumberFormat="1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3" fontId="6" fillId="3" borderId="18" xfId="0" applyNumberFormat="1" applyFont="1" applyFill="1" applyBorder="1" applyAlignment="1">
      <alignment vertical="center"/>
    </xf>
    <xf numFmtId="3" fontId="3" fillId="4" borderId="0" xfId="0" applyNumberFormat="1" applyFont="1" applyFill="1" applyBorder="1" applyAlignment="1">
      <alignment horizontal="left" vertical="center" wrapText="1"/>
    </xf>
    <xf numFmtId="3" fontId="3" fillId="4" borderId="38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left" vertical="center" wrapText="1"/>
    </xf>
    <xf numFmtId="3" fontId="3" fillId="4" borderId="6" xfId="0" applyNumberFormat="1" applyFont="1" applyFill="1" applyBorder="1" applyAlignment="1">
      <alignment horizontal="center" vertical="center"/>
    </xf>
    <xf numFmtId="3" fontId="11" fillId="3" borderId="11" xfId="0" applyNumberFormat="1" applyFont="1" applyFill="1" applyBorder="1" applyAlignment="1">
      <alignment vertical="center"/>
    </xf>
    <xf numFmtId="3" fontId="6" fillId="4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3" fillId="3" borderId="33" xfId="0" applyNumberFormat="1" applyFont="1" applyFill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center" vertical="center"/>
    </xf>
    <xf numFmtId="0" fontId="13" fillId="0" borderId="0" xfId="0" applyFont="1"/>
    <xf numFmtId="3" fontId="3" fillId="4" borderId="28" xfId="0" applyNumberFormat="1" applyFont="1" applyFill="1" applyBorder="1" applyAlignment="1">
      <alignment horizontal="left" vertical="center" wrapText="1"/>
    </xf>
    <xf numFmtId="3" fontId="3" fillId="4" borderId="39" xfId="0" applyNumberFormat="1" applyFont="1" applyFill="1" applyBorder="1" applyAlignment="1">
      <alignment horizontal="center" vertical="center"/>
    </xf>
    <xf numFmtId="0" fontId="14" fillId="0" borderId="0" xfId="0" applyFont="1"/>
    <xf numFmtId="3" fontId="8" fillId="5" borderId="35" xfId="0" applyNumberFormat="1" applyFont="1" applyFill="1" applyBorder="1" applyAlignment="1">
      <alignment vertical="center"/>
    </xf>
    <xf numFmtId="3" fontId="8" fillId="5" borderId="36" xfId="0" applyNumberFormat="1" applyFont="1" applyFill="1" applyBorder="1" applyAlignment="1">
      <alignment vertical="center"/>
    </xf>
    <xf numFmtId="3" fontId="8" fillId="5" borderId="40" xfId="0" applyNumberFormat="1" applyFont="1" applyFill="1" applyBorder="1" applyAlignment="1">
      <alignment horizontal="left" vertical="center" wrapText="1"/>
    </xf>
    <xf numFmtId="3" fontId="8" fillId="5" borderId="41" xfId="0" applyNumberFormat="1" applyFont="1" applyFill="1" applyBorder="1" applyAlignment="1">
      <alignment horizontal="center" vertical="center"/>
    </xf>
    <xf numFmtId="0" fontId="15" fillId="0" borderId="0" xfId="0" applyFont="1"/>
    <xf numFmtId="3" fontId="3" fillId="0" borderId="24" xfId="0" applyNumberFormat="1" applyFont="1" applyFill="1" applyBorder="1" applyAlignment="1">
      <alignment vertical="center"/>
    </xf>
    <xf numFmtId="3" fontId="3" fillId="0" borderId="25" xfId="0" applyNumberFormat="1" applyFont="1" applyFill="1" applyBorder="1" applyAlignment="1">
      <alignment vertical="center"/>
    </xf>
    <xf numFmtId="3" fontId="3" fillId="0" borderId="26" xfId="0" applyNumberFormat="1" applyFont="1" applyFill="1" applyBorder="1" applyAlignment="1">
      <alignment vertical="center"/>
    </xf>
    <xf numFmtId="3" fontId="6" fillId="0" borderId="43" xfId="0" applyNumberFormat="1" applyFont="1" applyFill="1" applyBorder="1" applyAlignment="1">
      <alignment vertical="center"/>
    </xf>
    <xf numFmtId="3" fontId="6" fillId="0" borderId="44" xfId="0" applyNumberFormat="1" applyFont="1" applyFill="1" applyBorder="1" applyAlignment="1">
      <alignment vertical="center"/>
    </xf>
    <xf numFmtId="3" fontId="6" fillId="3" borderId="45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horizontal="right" vertical="center"/>
    </xf>
    <xf numFmtId="3" fontId="6" fillId="0" borderId="46" xfId="0" applyNumberFormat="1" applyFont="1" applyFill="1" applyBorder="1" applyAlignment="1">
      <alignment vertical="center"/>
    </xf>
    <xf numFmtId="3" fontId="3" fillId="0" borderId="24" xfId="0" applyNumberFormat="1" applyFont="1" applyFill="1" applyBorder="1" applyAlignment="1">
      <alignment horizontal="right" vertical="center"/>
    </xf>
    <xf numFmtId="3" fontId="3" fillId="0" borderId="25" xfId="0" applyNumberFormat="1" applyFont="1" applyFill="1" applyBorder="1" applyAlignment="1">
      <alignment horizontal="right" vertical="center"/>
    </xf>
    <xf numFmtId="3" fontId="3" fillId="0" borderId="26" xfId="0" applyNumberFormat="1" applyFont="1" applyFill="1" applyBorder="1" applyAlignment="1">
      <alignment horizontal="right" vertical="center"/>
    </xf>
    <xf numFmtId="3" fontId="6" fillId="0" borderId="47" xfId="0" applyNumberFormat="1" applyFont="1" applyFill="1" applyBorder="1" applyAlignment="1">
      <alignment vertical="center"/>
    </xf>
    <xf numFmtId="3" fontId="6" fillId="0" borderId="48" xfId="0" applyNumberFormat="1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3" fontId="8" fillId="0" borderId="50" xfId="0" applyNumberFormat="1" applyFont="1" applyFill="1" applyBorder="1" applyAlignment="1" applyProtection="1">
      <alignment vertical="center"/>
    </xf>
    <xf numFmtId="3" fontId="8" fillId="0" borderId="46" xfId="0" applyNumberFormat="1" applyFont="1" applyFill="1" applyBorder="1" applyAlignment="1" applyProtection="1">
      <alignment vertical="center"/>
    </xf>
    <xf numFmtId="3" fontId="8" fillId="3" borderId="51" xfId="0" applyNumberFormat="1" applyFont="1" applyFill="1" applyBorder="1" applyAlignment="1" applyProtection="1">
      <alignment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0" fillId="0" borderId="0" xfId="0" applyFont="1" applyAlignment="1"/>
    <xf numFmtId="0" fontId="6" fillId="0" borderId="0" xfId="0" applyFont="1" applyBorder="1"/>
    <xf numFmtId="0" fontId="21" fillId="0" borderId="0" xfId="0" applyFont="1" applyFill="1"/>
    <xf numFmtId="0" fontId="0" fillId="0" borderId="0" xfId="0" applyFont="1" applyFill="1" applyBorder="1" applyAlignment="1"/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left" vertical="center"/>
    </xf>
    <xf numFmtId="49" fontId="3" fillId="4" borderId="7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left" vertical="center"/>
    </xf>
    <xf numFmtId="49" fontId="3" fillId="4" borderId="11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49" fontId="6" fillId="4" borderId="14" xfId="0" applyNumberFormat="1" applyFont="1" applyFill="1" applyBorder="1" applyAlignment="1">
      <alignment horizontal="left" vertical="center" wrapText="1"/>
    </xf>
    <xf numFmtId="49" fontId="3" fillId="4" borderId="15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10" fontId="6" fillId="4" borderId="3" xfId="0" applyNumberFormat="1" applyFont="1" applyFill="1" applyBorder="1" applyAlignment="1">
      <alignment horizontal="center" vertical="center"/>
    </xf>
    <xf numFmtId="10" fontId="6" fillId="4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/>
    </xf>
    <xf numFmtId="10" fontId="6" fillId="4" borderId="22" xfId="0" applyNumberFormat="1" applyFont="1" applyFill="1" applyBorder="1" applyAlignment="1">
      <alignment horizontal="center" vertical="center"/>
    </xf>
    <xf numFmtId="10" fontId="6" fillId="4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3" borderId="23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3" borderId="23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right" vertical="center"/>
    </xf>
    <xf numFmtId="1" fontId="6" fillId="4" borderId="2" xfId="0" applyNumberFormat="1" applyFont="1" applyFill="1" applyBorder="1" applyAlignment="1">
      <alignment horizontal="right" vertical="center"/>
    </xf>
    <xf numFmtId="1" fontId="6" fillId="0" borderId="2" xfId="0" applyNumberFormat="1" applyFont="1" applyFill="1" applyBorder="1" applyAlignment="1">
      <alignment horizontal="right" vertical="center"/>
    </xf>
    <xf numFmtId="1" fontId="6" fillId="3" borderId="23" xfId="0" applyNumberFormat="1" applyFont="1" applyFill="1" applyBorder="1" applyAlignment="1">
      <alignment horizontal="right" vertical="center"/>
    </xf>
    <xf numFmtId="3" fontId="6" fillId="4" borderId="22" xfId="0" applyNumberFormat="1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3" fontId="6" fillId="0" borderId="24" xfId="0" applyNumberFormat="1" applyFont="1" applyFill="1" applyBorder="1" applyAlignment="1">
      <alignment vertical="center"/>
    </xf>
    <xf numFmtId="3" fontId="6" fillId="0" borderId="25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3" fontId="6" fillId="3" borderId="27" xfId="0" applyNumberFormat="1" applyFont="1" applyFill="1" applyBorder="1" applyAlignment="1">
      <alignment vertical="center"/>
    </xf>
    <xf numFmtId="3" fontId="6" fillId="3" borderId="23" xfId="0" applyNumberFormat="1" applyFont="1" applyFill="1" applyBorder="1" applyAlignment="1">
      <alignment vertical="center"/>
    </xf>
    <xf numFmtId="0" fontId="4" fillId="0" borderId="52" xfId="0" applyFont="1" applyBorder="1" applyAlignment="1">
      <alignment horizontal="left" vertical="center" wrapText="1"/>
    </xf>
    <xf numFmtId="164" fontId="4" fillId="0" borderId="53" xfId="0" applyNumberFormat="1" applyFont="1" applyBorder="1" applyAlignment="1">
      <alignment horizontal="center" vertical="center"/>
    </xf>
    <xf numFmtId="0" fontId="21" fillId="0" borderId="54" xfId="0" applyFont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2" fillId="9" borderId="55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0" fontId="4" fillId="7" borderId="44" xfId="0" applyFont="1" applyFill="1" applyBorder="1" applyAlignment="1">
      <alignment horizontal="center" vertical="center"/>
    </xf>
    <xf numFmtId="0" fontId="22" fillId="7" borderId="44" xfId="0" applyFont="1" applyFill="1" applyBorder="1" applyAlignment="1">
      <alignment horizontal="center" vertical="center"/>
    </xf>
    <xf numFmtId="0" fontId="22" fillId="7" borderId="45" xfId="0" applyFont="1" applyFill="1" applyBorder="1" applyAlignment="1">
      <alignment horizontal="center" vertical="center"/>
    </xf>
    <xf numFmtId="3" fontId="1" fillId="0" borderId="31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horizontal="left" vertical="center" wrapText="1"/>
    </xf>
    <xf numFmtId="0" fontId="22" fillId="8" borderId="16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22" fillId="9" borderId="56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22" fillId="9" borderId="19" xfId="0" applyFont="1" applyFill="1" applyBorder="1" applyAlignment="1">
      <alignment horizontal="center" vertical="center"/>
    </xf>
    <xf numFmtId="0" fontId="21" fillId="0" borderId="57" xfId="0" applyFont="1" applyBorder="1" applyAlignment="1">
      <alignment horizontal="left" vertical="center" wrapText="1"/>
    </xf>
    <xf numFmtId="164" fontId="4" fillId="0" borderId="58" xfId="0" applyNumberFormat="1" applyFont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164" fontId="6" fillId="0" borderId="22" xfId="0" applyNumberFormat="1" applyFont="1" applyFill="1" applyBorder="1" applyAlignment="1">
      <alignment horizontal="center" vertical="center"/>
    </xf>
    <xf numFmtId="0" fontId="24" fillId="0" borderId="0" xfId="0" applyFont="1"/>
    <xf numFmtId="0" fontId="24" fillId="0" borderId="15" xfId="0" applyFont="1" applyBorder="1" applyAlignment="1">
      <alignment vertical="center" wrapText="1"/>
    </xf>
    <xf numFmtId="4" fontId="4" fillId="7" borderId="33" xfId="0" applyNumberFormat="1" applyFont="1" applyFill="1" applyBorder="1" applyAlignment="1">
      <alignment vertical="center"/>
    </xf>
    <xf numFmtId="4" fontId="4" fillId="7" borderId="25" xfId="0" applyNumberFormat="1" applyFont="1" applyFill="1" applyBorder="1" applyAlignment="1">
      <alignment vertical="center"/>
    </xf>
    <xf numFmtId="4" fontId="23" fillId="7" borderId="24" xfId="0" quotePrefix="1" applyNumberFormat="1" applyFont="1" applyFill="1" applyBorder="1" applyAlignment="1">
      <alignment vertical="center"/>
    </xf>
    <xf numFmtId="3" fontId="23" fillId="0" borderId="14" xfId="0" quotePrefix="1" applyNumberFormat="1" applyFont="1" applyBorder="1" applyAlignment="1">
      <alignment vertical="center"/>
    </xf>
    <xf numFmtId="0" fontId="24" fillId="0" borderId="11" xfId="0" applyFont="1" applyBorder="1" applyAlignment="1">
      <alignment vertical="center" wrapText="1"/>
    </xf>
    <xf numFmtId="4" fontId="1" fillId="7" borderId="23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24" fillId="7" borderId="22" xfId="0" applyNumberFormat="1" applyFont="1" applyFill="1" applyBorder="1" applyAlignment="1">
      <alignment vertical="center"/>
    </xf>
    <xf numFmtId="3" fontId="24" fillId="0" borderId="10" xfId="0" applyNumberFormat="1" applyFont="1" applyBorder="1" applyAlignment="1">
      <alignment vertical="center"/>
    </xf>
    <xf numFmtId="0" fontId="24" fillId="0" borderId="11" xfId="0" applyFont="1" applyFill="1" applyBorder="1" applyAlignment="1">
      <alignment vertical="center" wrapText="1"/>
    </xf>
    <xf numFmtId="4" fontId="4" fillId="7" borderId="23" xfId="0" applyNumberFormat="1" applyFont="1" applyFill="1" applyBorder="1" applyAlignment="1">
      <alignment vertical="center"/>
    </xf>
    <xf numFmtId="4" fontId="4" fillId="7" borderId="2" xfId="0" applyNumberFormat="1" applyFont="1" applyFill="1" applyBorder="1" applyAlignment="1">
      <alignment vertical="center"/>
    </xf>
    <xf numFmtId="4" fontId="23" fillId="7" borderId="22" xfId="0" applyNumberFormat="1" applyFont="1" applyFill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4" fontId="1" fillId="7" borderId="23" xfId="0" applyNumberFormat="1" applyFont="1" applyFill="1" applyBorder="1" applyAlignment="1">
      <alignment horizontal="center" vertical="center"/>
    </xf>
    <xf numFmtId="4" fontId="1" fillId="7" borderId="2" xfId="0" applyNumberFormat="1" applyFont="1" applyFill="1" applyBorder="1" applyAlignment="1">
      <alignment horizontal="center" vertical="center"/>
    </xf>
    <xf numFmtId="3" fontId="24" fillId="0" borderId="7" xfId="0" applyNumberFormat="1" applyFont="1" applyFill="1" applyBorder="1" applyAlignment="1">
      <alignment horizontal="left" vertical="center" wrapText="1"/>
    </xf>
    <xf numFmtId="4" fontId="1" fillId="7" borderId="49" xfId="0" applyNumberFormat="1" applyFont="1" applyFill="1" applyBorder="1" applyAlignment="1">
      <alignment horizontal="center" vertical="center"/>
    </xf>
    <xf numFmtId="4" fontId="1" fillId="7" borderId="48" xfId="0" applyNumberFormat="1" applyFont="1" applyFill="1" applyBorder="1" applyAlignment="1">
      <alignment horizontal="center" vertical="center"/>
    </xf>
    <xf numFmtId="4" fontId="24" fillId="7" borderId="47" xfId="0" applyNumberFormat="1" applyFont="1" applyFill="1" applyBorder="1" applyAlignment="1">
      <alignment vertical="center"/>
    </xf>
    <xf numFmtId="0" fontId="24" fillId="6" borderId="19" xfId="0" applyFont="1" applyFill="1" applyBorder="1" applyAlignment="1">
      <alignment vertical="center" wrapText="1"/>
    </xf>
    <xf numFmtId="4" fontId="24" fillId="6" borderId="18" xfId="0" applyNumberFormat="1" applyFont="1" applyFill="1" applyBorder="1" applyAlignment="1">
      <alignment horizontal="right" vertical="center"/>
    </xf>
    <xf numFmtId="4" fontId="24" fillId="6" borderId="17" xfId="0" applyNumberFormat="1" applyFont="1" applyFill="1" applyBorder="1" applyAlignment="1">
      <alignment horizontal="right" vertical="center"/>
    </xf>
    <xf numFmtId="4" fontId="24" fillId="6" borderId="16" xfId="0" applyNumberFormat="1" applyFont="1" applyFill="1" applyBorder="1" applyAlignment="1">
      <alignment horizontal="right" vertical="center"/>
    </xf>
    <xf numFmtId="4" fontId="24" fillId="6" borderId="1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 wrapText="1"/>
    </xf>
    <xf numFmtId="164" fontId="24" fillId="7" borderId="33" xfId="0" applyNumberFormat="1" applyFont="1" applyFill="1" applyBorder="1" applyAlignment="1">
      <alignment horizontal="center" vertical="center"/>
    </xf>
    <xf numFmtId="164" fontId="24" fillId="7" borderId="25" xfId="0" applyNumberFormat="1" applyFont="1" applyFill="1" applyBorder="1" applyAlignment="1">
      <alignment horizontal="center" vertical="center"/>
    </xf>
    <xf numFmtId="164" fontId="24" fillId="7" borderId="24" xfId="0" applyNumberFormat="1" applyFont="1" applyFill="1" applyBorder="1" applyAlignment="1">
      <alignment horizontal="center" vertical="center"/>
    </xf>
    <xf numFmtId="164" fontId="24" fillId="7" borderId="23" xfId="0" applyNumberFormat="1" applyFont="1" applyFill="1" applyBorder="1" applyAlignment="1">
      <alignment horizontal="center" vertical="center"/>
    </xf>
    <xf numFmtId="164" fontId="24" fillId="7" borderId="2" xfId="0" applyNumberFormat="1" applyFont="1" applyFill="1" applyBorder="1" applyAlignment="1">
      <alignment horizontal="center" vertical="center"/>
    </xf>
    <xf numFmtId="164" fontId="24" fillId="7" borderId="22" xfId="0" applyNumberFormat="1" applyFont="1" applyFill="1" applyBorder="1" applyAlignment="1">
      <alignment horizontal="center" vertical="center"/>
    </xf>
    <xf numFmtId="164" fontId="24" fillId="0" borderId="8" xfId="0" applyNumberFormat="1" applyFont="1" applyBorder="1" applyAlignment="1">
      <alignment horizontal="center" vertical="center"/>
    </xf>
    <xf numFmtId="0" fontId="24" fillId="0" borderId="0" xfId="0" applyFont="1" applyAlignment="1">
      <alignment wrapText="1"/>
    </xf>
    <xf numFmtId="164" fontId="24" fillId="7" borderId="49" xfId="0" applyNumberFormat="1" applyFont="1" applyFill="1" applyBorder="1" applyAlignment="1">
      <alignment horizontal="center" vertical="center" wrapText="1"/>
    </xf>
    <xf numFmtId="164" fontId="24" fillId="7" borderId="48" xfId="0" applyNumberFormat="1" applyFont="1" applyFill="1" applyBorder="1" applyAlignment="1">
      <alignment horizontal="center" vertical="center" wrapText="1"/>
    </xf>
    <xf numFmtId="164" fontId="24" fillId="7" borderId="47" xfId="0" applyNumberFormat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6" borderId="2" xfId="0" applyFont="1" applyFill="1" applyBorder="1" applyAlignment="1">
      <alignment wrapText="1"/>
    </xf>
    <xf numFmtId="0" fontId="24" fillId="6" borderId="2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3" fontId="6" fillId="4" borderId="10" xfId="0" applyNumberFormat="1" applyFont="1" applyFill="1" applyBorder="1" applyAlignment="1">
      <alignment horizontal="left" vertical="center" wrapText="1"/>
    </xf>
    <xf numFmtId="3" fontId="3" fillId="4" borderId="10" xfId="0" applyNumberFormat="1" applyFont="1" applyFill="1" applyBorder="1" applyAlignment="1">
      <alignment horizontal="left" vertical="center" wrapText="1"/>
    </xf>
    <xf numFmtId="4" fontId="3" fillId="4" borderId="10" xfId="0" applyNumberFormat="1" applyFont="1" applyFill="1" applyBorder="1" applyAlignment="1">
      <alignment horizontal="left" vertical="center" wrapText="1"/>
    </xf>
    <xf numFmtId="3" fontId="3" fillId="4" borderId="59" xfId="0" applyNumberFormat="1" applyFont="1" applyFill="1" applyBorder="1" applyAlignment="1">
      <alignment horizontal="left" vertical="center" wrapText="1"/>
    </xf>
    <xf numFmtId="3" fontId="8" fillId="0" borderId="14" xfId="0" applyNumberFormat="1" applyFont="1" applyFill="1" applyBorder="1" applyAlignment="1">
      <alignment horizontal="center" vertical="center"/>
    </xf>
    <xf numFmtId="3" fontId="8" fillId="0" borderId="34" xfId="0" applyNumberFormat="1" applyFont="1" applyFill="1" applyBorder="1" applyAlignment="1">
      <alignment horizontal="left" vertical="center" wrapText="1"/>
    </xf>
    <xf numFmtId="3" fontId="6" fillId="0" borderId="32" xfId="0" applyNumberFormat="1" applyFont="1" applyFill="1" applyBorder="1" applyAlignment="1">
      <alignment horizontal="left" vertical="center" wrapText="1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left" vertical="center" wrapText="1"/>
    </xf>
    <xf numFmtId="3" fontId="3" fillId="0" borderId="34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/>
    <xf numFmtId="0" fontId="20" fillId="0" borderId="0" xfId="0" applyFont="1" applyFill="1" applyBorder="1" applyAlignment="1"/>
    <xf numFmtId="0" fontId="0" fillId="0" borderId="0" xfId="0" applyBorder="1"/>
    <xf numFmtId="3" fontId="6" fillId="3" borderId="49" xfId="0" applyNumberFormat="1" applyFont="1" applyFill="1" applyBorder="1" applyAlignment="1">
      <alignment vertical="center"/>
    </xf>
    <xf numFmtId="3" fontId="3" fillId="3" borderId="27" xfId="0" applyNumberFormat="1" applyFont="1" applyFill="1" applyBorder="1" applyAlignment="1">
      <alignment horizontal="right" vertical="center"/>
    </xf>
    <xf numFmtId="3" fontId="6" fillId="3" borderId="23" xfId="0" applyNumberFormat="1" applyFont="1" applyFill="1" applyBorder="1" applyAlignment="1">
      <alignment horizontal="right" vertical="center"/>
    </xf>
    <xf numFmtId="3" fontId="3" fillId="3" borderId="33" xfId="0" applyNumberFormat="1" applyFont="1" applyFill="1" applyBorder="1" applyAlignment="1">
      <alignment vertical="center"/>
    </xf>
    <xf numFmtId="3" fontId="6" fillId="0" borderId="30" xfId="0" applyNumberFormat="1" applyFont="1" applyFill="1" applyBorder="1" applyAlignment="1">
      <alignment horizontal="left" vertical="center" wrapText="1"/>
    </xf>
    <xf numFmtId="3" fontId="6" fillId="0" borderId="10" xfId="0" applyNumberFormat="1" applyFont="1" applyFill="1" applyBorder="1" applyAlignment="1">
      <alignment horizontal="left" vertical="center" wrapText="1"/>
    </xf>
    <xf numFmtId="3" fontId="6" fillId="0" borderId="6" xfId="0" applyNumberFormat="1" applyFont="1" applyFill="1" applyBorder="1" applyAlignment="1">
      <alignment horizontal="left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3" fontId="6" fillId="0" borderId="22" xfId="0" applyNumberFormat="1" applyFont="1" applyFill="1" applyBorder="1" applyAlignment="1">
      <alignment horizontal="right" vertical="center" wrapText="1"/>
    </xf>
    <xf numFmtId="3" fontId="6" fillId="0" borderId="42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/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vertical="center" wrapText="1"/>
    </xf>
    <xf numFmtId="3" fontId="6" fillId="4" borderId="28" xfId="0" applyNumberFormat="1" applyFont="1" applyFill="1" applyBorder="1" applyAlignment="1">
      <alignment vertical="center" wrapText="1"/>
    </xf>
    <xf numFmtId="0" fontId="9" fillId="0" borderId="28" xfId="0" applyFont="1" applyBorder="1" applyAlignment="1">
      <alignment wrapText="1"/>
    </xf>
    <xf numFmtId="3" fontId="6" fillId="4" borderId="0" xfId="0" applyNumberFormat="1" applyFont="1" applyFill="1" applyBorder="1" applyAlignment="1">
      <alignment horizontal="center" vertical="top"/>
    </xf>
    <xf numFmtId="3" fontId="6" fillId="4" borderId="0" xfId="0" applyNumberFormat="1" applyFont="1" applyFill="1" applyBorder="1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U56"/>
  <sheetViews>
    <sheetView tabSelected="1" view="pageBreakPreview" zoomScale="80" zoomScaleNormal="100" zoomScaleSheetLayoutView="80" workbookViewId="0">
      <selection activeCell="A5" sqref="A5:G5"/>
    </sheetView>
  </sheetViews>
  <sheetFormatPr defaultRowHeight="15" x14ac:dyDescent="0.25"/>
  <cols>
    <col min="1" max="1" width="4.7109375" customWidth="1"/>
    <col min="2" max="2" width="108.7109375" customWidth="1"/>
    <col min="3" max="8" width="21.42578125" customWidth="1"/>
  </cols>
  <sheetData>
    <row r="1" spans="1:255" ht="15.75" x14ac:dyDescent="0.25">
      <c r="A1" s="1"/>
      <c r="B1" s="1"/>
      <c r="C1" s="1"/>
      <c r="D1" s="1"/>
      <c r="E1" s="1"/>
      <c r="F1" s="1"/>
      <c r="G1" s="86" t="s">
        <v>0</v>
      </c>
      <c r="H1" s="8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15.75" x14ac:dyDescent="0.25">
      <c r="A2" s="87"/>
      <c r="B2" s="233"/>
      <c r="C2" s="1"/>
      <c r="D2" s="1"/>
      <c r="E2" s="1"/>
      <c r="F2" s="1"/>
      <c r="G2" s="86" t="s">
        <v>69</v>
      </c>
      <c r="H2" s="8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15.75" x14ac:dyDescent="0.25">
      <c r="A3" s="217"/>
      <c r="B3" s="218"/>
      <c r="C3" s="219"/>
      <c r="D3" s="1"/>
      <c r="E3" s="1"/>
      <c r="F3" s="1"/>
      <c r="G3" s="86" t="s">
        <v>1</v>
      </c>
      <c r="H3" s="8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15.75" x14ac:dyDescent="0.25">
      <c r="A4" s="1"/>
      <c r="B4" s="1"/>
      <c r="C4" s="1"/>
      <c r="D4" s="1"/>
      <c r="E4" s="1"/>
      <c r="F4" s="1"/>
      <c r="G4" s="86" t="s">
        <v>70</v>
      </c>
      <c r="H4" s="8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18" x14ac:dyDescent="0.25">
      <c r="A5" s="234" t="s">
        <v>2</v>
      </c>
      <c r="B5" s="235"/>
      <c r="C5" s="235"/>
      <c r="D5" s="235"/>
      <c r="E5" s="235"/>
      <c r="F5" s="235"/>
      <c r="G5" s="23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ht="15.75" thickBot="1" x14ac:dyDescent="0.3">
      <c r="A6" s="1"/>
      <c r="B6" s="1"/>
      <c r="C6" s="84"/>
      <c r="D6" s="84"/>
      <c r="E6" s="84"/>
      <c r="F6" s="84"/>
      <c r="G6" s="84"/>
      <c r="H6" s="8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s="1" customFormat="1" ht="28.5" customHeight="1" thickBot="1" x14ac:dyDescent="0.3">
      <c r="A7" s="83" t="s">
        <v>3</v>
      </c>
      <c r="B7" s="82" t="s">
        <v>4</v>
      </c>
      <c r="C7" s="105">
        <v>2012</v>
      </c>
      <c r="D7" s="104">
        <v>2013</v>
      </c>
      <c r="E7" s="104">
        <v>2014</v>
      </c>
      <c r="F7" s="104">
        <v>2015</v>
      </c>
      <c r="G7" s="104">
        <v>2016</v>
      </c>
      <c r="H7" s="103">
        <v>2017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5" s="1" customFormat="1" ht="22.5" customHeight="1" x14ac:dyDescent="0.25">
      <c r="A8" s="210">
        <v>1</v>
      </c>
      <c r="B8" s="211" t="s">
        <v>5</v>
      </c>
      <c r="C8" s="81">
        <f t="shared" ref="C8:H8" si="0">C9+C11</f>
        <v>81123683</v>
      </c>
      <c r="D8" s="80">
        <f t="shared" si="0"/>
        <v>82121751</v>
      </c>
      <c r="E8" s="80">
        <f t="shared" si="0"/>
        <v>94811496</v>
      </c>
      <c r="F8" s="80">
        <f t="shared" si="0"/>
        <v>84377659</v>
      </c>
      <c r="G8" s="80">
        <f t="shared" si="0"/>
        <v>83862765</v>
      </c>
      <c r="H8" s="79">
        <f t="shared" si="0"/>
        <v>85959333.875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55" s="1" customFormat="1" ht="22.5" customHeight="1" x14ac:dyDescent="0.25">
      <c r="A9" s="30" t="s">
        <v>6</v>
      </c>
      <c r="B9" s="212" t="s">
        <v>7</v>
      </c>
      <c r="C9" s="132">
        <f>77482552-1383</f>
        <v>77481169</v>
      </c>
      <c r="D9" s="28">
        <f>80289993</f>
        <v>80289993</v>
      </c>
      <c r="E9" s="28">
        <f>81276849</f>
        <v>81276849</v>
      </c>
      <c r="F9" s="28">
        <f>80692146</f>
        <v>80692146</v>
      </c>
      <c r="G9" s="28">
        <f>82709450</f>
        <v>82709450</v>
      </c>
      <c r="H9" s="27">
        <f>84777186</f>
        <v>84777186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5" s="204" customFormat="1" ht="22.5" customHeight="1" x14ac:dyDescent="0.2">
      <c r="A10" s="30" t="s">
        <v>8</v>
      </c>
      <c r="B10" s="212" t="s">
        <v>9</v>
      </c>
      <c r="C10" s="132">
        <f>1943762-3879</f>
        <v>1939883</v>
      </c>
      <c r="D10" s="28">
        <f>1171359</f>
        <v>1171359</v>
      </c>
      <c r="E10" s="28">
        <f>96050</f>
        <v>96050</v>
      </c>
      <c r="F10" s="28">
        <f>32300</f>
        <v>32300</v>
      </c>
      <c r="G10" s="28">
        <f>0</f>
        <v>0</v>
      </c>
      <c r="H10" s="27">
        <v>0</v>
      </c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55" s="1" customFormat="1" ht="22.5" customHeight="1" x14ac:dyDescent="0.25">
      <c r="A11" s="30" t="s">
        <v>10</v>
      </c>
      <c r="B11" s="212" t="s">
        <v>11</v>
      </c>
      <c r="C11" s="132">
        <f>3735271-92757</f>
        <v>3642514</v>
      </c>
      <c r="D11" s="28">
        <f>1831758</f>
        <v>1831758</v>
      </c>
      <c r="E11" s="28">
        <f>13534647</f>
        <v>13534647</v>
      </c>
      <c r="F11" s="28">
        <f>3685513</f>
        <v>3685513</v>
      </c>
      <c r="G11" s="28">
        <f>1153315</f>
        <v>1153315</v>
      </c>
      <c r="H11" s="27">
        <f>G11+G11*2.5%</f>
        <v>1182147.875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pans="1:255" s="204" customFormat="1" ht="22.5" customHeight="1" x14ac:dyDescent="0.2">
      <c r="A12" s="213" t="s">
        <v>12</v>
      </c>
      <c r="B12" s="212" t="s">
        <v>9</v>
      </c>
      <c r="C12" s="132">
        <f>1318203-30635</f>
        <v>1287568</v>
      </c>
      <c r="D12" s="28">
        <f>0</f>
        <v>0</v>
      </c>
      <c r="E12" s="28">
        <v>0</v>
      </c>
      <c r="F12" s="28">
        <f>0</f>
        <v>0</v>
      </c>
      <c r="G12" s="28">
        <f>0</f>
        <v>0</v>
      </c>
      <c r="H12" s="27">
        <v>0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</row>
    <row r="13" spans="1:255" s="205" customFormat="1" ht="22.5" customHeight="1" thickBot="1" x14ac:dyDescent="0.25">
      <c r="A13" s="214" t="s">
        <v>13</v>
      </c>
      <c r="B13" s="215" t="s">
        <v>14</v>
      </c>
      <c r="C13" s="220">
        <f>1321445</f>
        <v>1321445</v>
      </c>
      <c r="D13" s="76">
        <f>1510000</f>
        <v>1510000</v>
      </c>
      <c r="E13" s="76">
        <f>200000</f>
        <v>200000</v>
      </c>
      <c r="F13" s="76">
        <f>200000</f>
        <v>200000</v>
      </c>
      <c r="G13" s="76">
        <f>200000</f>
        <v>200000</v>
      </c>
      <c r="H13" s="75">
        <v>0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</row>
    <row r="14" spans="1:255" s="1" customFormat="1" ht="22.5" customHeight="1" x14ac:dyDescent="0.25">
      <c r="A14" s="36">
        <v>2</v>
      </c>
      <c r="B14" s="216" t="s">
        <v>15</v>
      </c>
      <c r="C14" s="221">
        <f>78167552+61016</f>
        <v>78228568</v>
      </c>
      <c r="D14" s="73">
        <f>72288437</f>
        <v>72288437</v>
      </c>
      <c r="E14" s="74">
        <f>71469004</f>
        <v>71469004</v>
      </c>
      <c r="F14" s="73">
        <f>80511314</f>
        <v>80511314</v>
      </c>
      <c r="G14" s="73">
        <f>82524097</f>
        <v>82524097</v>
      </c>
      <c r="H14" s="72">
        <f>84587199</f>
        <v>84587199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5" s="1" customFormat="1" ht="22.5" customHeight="1" x14ac:dyDescent="0.25">
      <c r="A15" s="49" t="s">
        <v>6</v>
      </c>
      <c r="B15" s="29" t="s">
        <v>16</v>
      </c>
      <c r="C15" s="132">
        <f>49310718+37549</f>
        <v>49348267</v>
      </c>
      <c r="D15" s="71">
        <f>49680629</f>
        <v>49680629</v>
      </c>
      <c r="E15" s="28">
        <f>50922645</f>
        <v>50922645</v>
      </c>
      <c r="F15" s="28">
        <f>52195711</f>
        <v>52195711</v>
      </c>
      <c r="G15" s="28">
        <f>53500604</f>
        <v>53500604</v>
      </c>
      <c r="H15" s="70">
        <f>54838119</f>
        <v>54838119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5" s="1" customFormat="1" ht="22.5" customHeight="1" x14ac:dyDescent="0.25">
      <c r="A16" s="49" t="s">
        <v>8</v>
      </c>
      <c r="B16" s="29" t="s">
        <v>17</v>
      </c>
      <c r="C16" s="222">
        <f>8722043+37549</f>
        <v>8759592</v>
      </c>
      <c r="D16" s="28">
        <f>8784054</f>
        <v>8784054</v>
      </c>
      <c r="E16" s="28">
        <f>9003656</f>
        <v>9003656</v>
      </c>
      <c r="F16" s="28">
        <f>9228747</f>
        <v>9228747</v>
      </c>
      <c r="G16" s="28">
        <f>9459466</f>
        <v>9459466</v>
      </c>
      <c r="H16" s="70">
        <f>9695953</f>
        <v>9695953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1" customFormat="1" ht="22.5" customHeight="1" x14ac:dyDescent="0.25">
      <c r="A17" s="49" t="s">
        <v>10</v>
      </c>
      <c r="B17" s="29" t="s">
        <v>18</v>
      </c>
      <c r="C17" s="132">
        <f>0</f>
        <v>0</v>
      </c>
      <c r="D17" s="28">
        <f>0</f>
        <v>0</v>
      </c>
      <c r="E17" s="28">
        <f>0</f>
        <v>0</v>
      </c>
      <c r="F17" s="28">
        <f>0</f>
        <v>0</v>
      </c>
      <c r="G17" s="28">
        <f>0</f>
        <v>0</v>
      </c>
      <c r="H17" s="27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1" customFormat="1" ht="22.5" customHeight="1" x14ac:dyDescent="0.25">
      <c r="A18" s="49" t="s">
        <v>12</v>
      </c>
      <c r="B18" s="29" t="s">
        <v>19</v>
      </c>
      <c r="C18" s="132">
        <f>0</f>
        <v>0</v>
      </c>
      <c r="D18" s="28">
        <f>0</f>
        <v>0</v>
      </c>
      <c r="E18" s="28">
        <f>0</f>
        <v>0</v>
      </c>
      <c r="F18" s="28">
        <f>0</f>
        <v>0</v>
      </c>
      <c r="G18" s="28">
        <f>0</f>
        <v>0</v>
      </c>
      <c r="H18" s="27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pans="1:254" s="205" customFormat="1" ht="22.5" customHeight="1" x14ac:dyDescent="0.2">
      <c r="A19" s="213" t="s">
        <v>13</v>
      </c>
      <c r="B19" s="224" t="s">
        <v>20</v>
      </c>
      <c r="C19" s="132">
        <f>2854716</f>
        <v>2854716</v>
      </c>
      <c r="D19" s="28">
        <f>2567919</f>
        <v>2567919</v>
      </c>
      <c r="E19" s="28">
        <f>865710</f>
        <v>865710</v>
      </c>
      <c r="F19" s="28">
        <f>908900</f>
        <v>908900</v>
      </c>
      <c r="G19" s="28">
        <f>923100</f>
        <v>923100</v>
      </c>
      <c r="H19" s="27">
        <v>0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</row>
    <row r="20" spans="1:254" s="205" customFormat="1" ht="22.5" customHeight="1" thickBot="1" x14ac:dyDescent="0.25">
      <c r="A20" s="214" t="s">
        <v>21</v>
      </c>
      <c r="B20" s="215" t="s">
        <v>22</v>
      </c>
      <c r="C20" s="24">
        <f>2212752</f>
        <v>2212752</v>
      </c>
      <c r="D20" s="23">
        <f>1696219</f>
        <v>1696219</v>
      </c>
      <c r="E20" s="23">
        <f>154810</f>
        <v>154810</v>
      </c>
      <c r="F20" s="23">
        <f>38000</f>
        <v>38000</v>
      </c>
      <c r="G20" s="23">
        <f>0</f>
        <v>0</v>
      </c>
      <c r="H20" s="22">
        <v>0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</row>
    <row r="21" spans="1:254" s="1" customFormat="1" ht="22.5" customHeight="1" thickBot="1" x14ac:dyDescent="0.3">
      <c r="A21" s="45">
        <v>3</v>
      </c>
      <c r="B21" s="44" t="s">
        <v>23</v>
      </c>
      <c r="C21" s="69">
        <f t="shared" ref="C21:H21" si="1">C33-C34-C37</f>
        <v>5816282</v>
      </c>
      <c r="D21" s="68">
        <f t="shared" si="1"/>
        <v>8819750</v>
      </c>
      <c r="E21" s="68">
        <f t="shared" si="1"/>
        <v>21372209</v>
      </c>
      <c r="F21" s="68">
        <f t="shared" si="1"/>
        <v>2000000</v>
      </c>
      <c r="G21" s="68">
        <f t="shared" si="1"/>
        <v>0</v>
      </c>
      <c r="H21" s="67">
        <f t="shared" si="1"/>
        <v>1372134.875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spans="1:254" s="1" customFormat="1" ht="22.5" customHeight="1" x14ac:dyDescent="0.25">
      <c r="A22" s="54">
        <v>4</v>
      </c>
      <c r="B22" s="10" t="s">
        <v>24</v>
      </c>
      <c r="C22" s="223">
        <f>7031438-155156</f>
        <v>6876282</v>
      </c>
      <c r="D22" s="66">
        <f>9474750</f>
        <v>9474750</v>
      </c>
      <c r="E22" s="65">
        <f>21372209</f>
        <v>21372209</v>
      </c>
      <c r="F22" s="65">
        <f>2000000</f>
        <v>2000000</v>
      </c>
      <c r="G22" s="65">
        <f>0</f>
        <v>0</v>
      </c>
      <c r="H22" s="64">
        <v>1372135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pans="1:254" s="205" customFormat="1" ht="22.5" customHeight="1" x14ac:dyDescent="0.2">
      <c r="A23" s="30" t="s">
        <v>6</v>
      </c>
      <c r="B23" s="225" t="s">
        <v>25</v>
      </c>
      <c r="C23" s="132">
        <f>5773841-364156</f>
        <v>5409685</v>
      </c>
      <c r="D23" s="227">
        <f>8899750</f>
        <v>8899750</v>
      </c>
      <c r="E23" s="228">
        <f>21372209</f>
        <v>21372209</v>
      </c>
      <c r="F23" s="228">
        <f>2000000</f>
        <v>2000000</v>
      </c>
      <c r="G23" s="228">
        <f>0</f>
        <v>0</v>
      </c>
      <c r="H23" s="229">
        <v>0</v>
      </c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</row>
    <row r="24" spans="1:254" s="205" customFormat="1" ht="22.5" customHeight="1" thickBot="1" x14ac:dyDescent="0.25">
      <c r="A24" s="214" t="s">
        <v>8</v>
      </c>
      <c r="B24" s="226" t="s">
        <v>22</v>
      </c>
      <c r="C24" s="24">
        <f>2325689</f>
        <v>2325689</v>
      </c>
      <c r="D24" s="230">
        <f>1580000</f>
        <v>1580000</v>
      </c>
      <c r="E24" s="231">
        <v>0</v>
      </c>
      <c r="F24" s="231">
        <v>0</v>
      </c>
      <c r="G24" s="231">
        <v>0</v>
      </c>
      <c r="H24" s="232">
        <v>0</v>
      </c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</row>
    <row r="25" spans="1:254" s="1" customFormat="1" ht="22.5" customHeight="1" thickBot="1" x14ac:dyDescent="0.3">
      <c r="A25" s="62">
        <v>5</v>
      </c>
      <c r="B25" s="61" t="s">
        <v>26</v>
      </c>
      <c r="C25" s="40">
        <f t="shared" ref="C25:H25" si="2">C22+C14</f>
        <v>85104850</v>
      </c>
      <c r="D25" s="39">
        <f t="shared" si="2"/>
        <v>81763187</v>
      </c>
      <c r="E25" s="39">
        <f t="shared" si="2"/>
        <v>92841213</v>
      </c>
      <c r="F25" s="60">
        <f t="shared" si="2"/>
        <v>82511314</v>
      </c>
      <c r="G25" s="60">
        <f t="shared" si="2"/>
        <v>82524097</v>
      </c>
      <c r="H25" s="59">
        <f t="shared" si="2"/>
        <v>85959334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</row>
    <row r="26" spans="1:254" s="1" customFormat="1" ht="22.5" customHeight="1" thickBot="1" x14ac:dyDescent="0.3">
      <c r="A26" s="57">
        <v>6</v>
      </c>
      <c r="B26" s="56" t="s">
        <v>27</v>
      </c>
      <c r="C26" s="14">
        <f t="shared" ref="C26:H26" si="3">C8-C25</f>
        <v>-3981167</v>
      </c>
      <c r="D26" s="13">
        <f t="shared" si="3"/>
        <v>358564</v>
      </c>
      <c r="E26" s="13">
        <f t="shared" si="3"/>
        <v>1970283</v>
      </c>
      <c r="F26" s="13">
        <f t="shared" si="3"/>
        <v>1866345</v>
      </c>
      <c r="G26" s="13">
        <f t="shared" si="3"/>
        <v>1338668</v>
      </c>
      <c r="H26" s="12">
        <f t="shared" si="3"/>
        <v>-0.125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</row>
    <row r="27" spans="1:254" s="1" customFormat="1" ht="22.5" customHeight="1" x14ac:dyDescent="0.25">
      <c r="A27" s="54">
        <v>7</v>
      </c>
      <c r="B27" s="35" t="s">
        <v>28</v>
      </c>
      <c r="C27" s="53" t="s">
        <v>29</v>
      </c>
      <c r="D27" s="52" t="s">
        <v>29</v>
      </c>
      <c r="E27" s="52" t="s">
        <v>29</v>
      </c>
      <c r="F27" s="52" t="s">
        <v>29</v>
      </c>
      <c r="G27" s="52" t="s">
        <v>29</v>
      </c>
      <c r="H27" s="51" t="s">
        <v>29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pans="1:254" s="1" customFormat="1" ht="22.5" customHeight="1" x14ac:dyDescent="0.25">
      <c r="A28" s="50">
        <v>8</v>
      </c>
      <c r="B28" s="32" t="s">
        <v>30</v>
      </c>
      <c r="C28" s="132">
        <f>5581330</f>
        <v>5581330</v>
      </c>
      <c r="D28" s="28">
        <f>1255018</f>
        <v>1255018</v>
      </c>
      <c r="E28" s="28">
        <f>428752</f>
        <v>428752</v>
      </c>
      <c r="F28" s="28">
        <f>428752</f>
        <v>428752</v>
      </c>
      <c r="G28" s="28">
        <f>428752</f>
        <v>428752</v>
      </c>
      <c r="H28" s="27">
        <v>428744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pans="1:254" s="1" customFormat="1" ht="38.25" customHeight="1" x14ac:dyDescent="0.25">
      <c r="A29" s="49" t="s">
        <v>6</v>
      </c>
      <c r="B29" s="29" t="s">
        <v>31</v>
      </c>
      <c r="C29" s="48">
        <f>C28-C35</f>
        <v>2921167</v>
      </c>
      <c r="D29" s="28">
        <v>0</v>
      </c>
      <c r="E29" s="28">
        <v>0</v>
      </c>
      <c r="F29" s="28">
        <v>0</v>
      </c>
      <c r="G29" s="28">
        <v>0</v>
      </c>
      <c r="H29" s="27">
        <f>H28-H35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spans="1:254" s="1" customFormat="1" ht="22.5" customHeight="1" thickBot="1" x14ac:dyDescent="0.3">
      <c r="A30" s="47">
        <v>9</v>
      </c>
      <c r="B30" s="46" t="s">
        <v>32</v>
      </c>
      <c r="C30" s="24">
        <v>0</v>
      </c>
      <c r="D30" s="23">
        <f>0</f>
        <v>0</v>
      </c>
      <c r="E30" s="23">
        <f>0</f>
        <v>0</v>
      </c>
      <c r="F30" s="23">
        <f>0</f>
        <v>0</v>
      </c>
      <c r="G30" s="23">
        <f>0</f>
        <v>0</v>
      </c>
      <c r="H30" s="2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4" s="1" customFormat="1" ht="22.5" customHeight="1" thickBot="1" x14ac:dyDescent="0.3">
      <c r="A31" s="45">
        <v>10</v>
      </c>
      <c r="B31" s="44" t="s">
        <v>33</v>
      </c>
      <c r="C31" s="43">
        <f>1060000</f>
        <v>1060000</v>
      </c>
      <c r="D31" s="42">
        <f>655000</f>
        <v>655000</v>
      </c>
      <c r="E31" s="42">
        <f>0</f>
        <v>0</v>
      </c>
      <c r="F31" s="42">
        <f>0</f>
        <v>0</v>
      </c>
      <c r="G31" s="42">
        <f>0</f>
        <v>0</v>
      </c>
      <c r="H31" s="4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</row>
    <row r="32" spans="1:254" s="1" customFormat="1" ht="22.5" customHeight="1" thickBot="1" x14ac:dyDescent="0.3">
      <c r="A32" s="21">
        <v>11</v>
      </c>
      <c r="B32" s="20" t="s">
        <v>34</v>
      </c>
      <c r="C32" s="40">
        <f t="shared" ref="C32:H32" si="4">C28+C30+C31</f>
        <v>6641330</v>
      </c>
      <c r="D32" s="39">
        <f t="shared" si="4"/>
        <v>1910018</v>
      </c>
      <c r="E32" s="39">
        <f t="shared" si="4"/>
        <v>428752</v>
      </c>
      <c r="F32" s="39">
        <f t="shared" si="4"/>
        <v>428752</v>
      </c>
      <c r="G32" s="39">
        <f t="shared" si="4"/>
        <v>428752</v>
      </c>
      <c r="H32" s="38">
        <f t="shared" si="4"/>
        <v>428744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</row>
    <row r="33" spans="1:254" s="1" customFormat="1" ht="22.5" customHeight="1" x14ac:dyDescent="0.25">
      <c r="A33" s="36">
        <v>12</v>
      </c>
      <c r="B33" s="35" t="s">
        <v>35</v>
      </c>
      <c r="C33" s="34">
        <f>C8-C14+C36+C28+C30</f>
        <v>9126445</v>
      </c>
      <c r="D33" s="129">
        <f>(D8-(D14-D36))+D28+D30</f>
        <v>11388332</v>
      </c>
      <c r="E33" s="129">
        <f>(E8-(E14-E36))+E28+E30</f>
        <v>24021244</v>
      </c>
      <c r="F33" s="129">
        <f>(F8-(F14-F36))+F28+F30</f>
        <v>4445097</v>
      </c>
      <c r="G33" s="129">
        <f>(G8-(G14-G36))+G28+G30</f>
        <v>1867420</v>
      </c>
      <c r="H33" s="128">
        <f>(H8-(H14-H36))+H28+H30</f>
        <v>1810878.875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spans="1:254" s="1" customFormat="1" ht="22.5" customHeight="1" x14ac:dyDescent="0.25">
      <c r="A34" s="33">
        <v>13</v>
      </c>
      <c r="B34" s="32" t="s">
        <v>36</v>
      </c>
      <c r="C34" s="132">
        <f t="shared" ref="C34:H34" si="5">C35+C36</f>
        <v>3310163</v>
      </c>
      <c r="D34" s="28">
        <f t="shared" si="5"/>
        <v>2568582</v>
      </c>
      <c r="E34" s="28">
        <f t="shared" si="5"/>
        <v>2649035</v>
      </c>
      <c r="F34" s="28">
        <f t="shared" si="5"/>
        <v>2445097</v>
      </c>
      <c r="G34" s="28">
        <f t="shared" si="5"/>
        <v>1867420</v>
      </c>
      <c r="H34" s="27">
        <f t="shared" si="5"/>
        <v>438744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spans="1:254" s="1" customFormat="1" ht="22.5" customHeight="1" x14ac:dyDescent="0.25">
      <c r="A35" s="30" t="s">
        <v>6</v>
      </c>
      <c r="B35" s="29" t="s">
        <v>37</v>
      </c>
      <c r="C35" s="132">
        <f>2660163</f>
        <v>2660163</v>
      </c>
      <c r="D35" s="28">
        <f>2268582</f>
        <v>2268582</v>
      </c>
      <c r="E35" s="28">
        <v>2399035</v>
      </c>
      <c r="F35" s="28">
        <v>2295097</v>
      </c>
      <c r="G35" s="28">
        <v>1767420</v>
      </c>
      <c r="H35" s="31">
        <v>428744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spans="1:254" s="1" customFormat="1" ht="22.5" customHeight="1" x14ac:dyDescent="0.25">
      <c r="A36" s="30" t="s">
        <v>8</v>
      </c>
      <c r="B36" s="29" t="s">
        <v>38</v>
      </c>
      <c r="C36" s="127">
        <f>650000</f>
        <v>650000</v>
      </c>
      <c r="D36" s="28">
        <f>300000</f>
        <v>300000</v>
      </c>
      <c r="E36" s="28">
        <f>250000</f>
        <v>250000</v>
      </c>
      <c r="F36" s="28">
        <f>150000</f>
        <v>150000</v>
      </c>
      <c r="G36" s="28">
        <f>100000</f>
        <v>100000</v>
      </c>
      <c r="H36" s="27">
        <f>10000</f>
        <v>10000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spans="1:254" s="1" customFormat="1" ht="22.5" customHeight="1" thickBot="1" x14ac:dyDescent="0.3">
      <c r="A37" s="26">
        <v>14</v>
      </c>
      <c r="B37" s="25" t="s">
        <v>39</v>
      </c>
      <c r="C37" s="24">
        <f>0</f>
        <v>0</v>
      </c>
      <c r="D37" s="23">
        <v>0</v>
      </c>
      <c r="E37" s="23">
        <v>0</v>
      </c>
      <c r="F37" s="23">
        <v>0</v>
      </c>
      <c r="G37" s="23">
        <v>0</v>
      </c>
      <c r="H37" s="22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4" s="1" customFormat="1" ht="22.5" customHeight="1" thickBot="1" x14ac:dyDescent="0.3">
      <c r="A38" s="21">
        <v>15</v>
      </c>
      <c r="B38" s="20" t="s">
        <v>40</v>
      </c>
      <c r="C38" s="19">
        <f t="shared" ref="C38:H38" si="6">C35+C37</f>
        <v>2660163</v>
      </c>
      <c r="D38" s="18">
        <f t="shared" si="6"/>
        <v>2268582</v>
      </c>
      <c r="E38" s="18">
        <f t="shared" si="6"/>
        <v>2399035</v>
      </c>
      <c r="F38" s="18">
        <f t="shared" si="6"/>
        <v>2295097</v>
      </c>
      <c r="G38" s="18">
        <f t="shared" si="6"/>
        <v>1767420</v>
      </c>
      <c r="H38" s="17">
        <f t="shared" si="6"/>
        <v>428744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spans="1:254" s="1" customFormat="1" ht="22.5" customHeight="1" thickBot="1" x14ac:dyDescent="0.3">
      <c r="A39" s="16">
        <v>16</v>
      </c>
      <c r="B39" s="15" t="s">
        <v>41</v>
      </c>
      <c r="C39" s="14">
        <f>C21-C22+C31</f>
        <v>0</v>
      </c>
      <c r="D39" s="13">
        <f t="shared" ref="D39:H39" si="7">D21-D22+D31</f>
        <v>0</v>
      </c>
      <c r="E39" s="13">
        <f t="shared" si="7"/>
        <v>0</v>
      </c>
      <c r="F39" s="13">
        <f t="shared" si="7"/>
        <v>0</v>
      </c>
      <c r="G39" s="13">
        <f t="shared" si="7"/>
        <v>0</v>
      </c>
      <c r="H39" s="12">
        <f t="shared" si="7"/>
        <v>-0.125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</row>
    <row r="40" spans="1:254" s="1" customFormat="1" ht="15.75" thickBot="1" x14ac:dyDescent="0.3">
      <c r="A40" s="236"/>
      <c r="B40" s="237"/>
      <c r="C40" s="238"/>
      <c r="D40" s="238"/>
      <c r="E40" s="238"/>
      <c r="F40" s="238"/>
      <c r="G40" s="238"/>
      <c r="H40" s="23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</row>
    <row r="41" spans="1:254" s="1" customFormat="1" ht="22.5" customHeight="1" x14ac:dyDescent="0.25">
      <c r="A41" s="11">
        <v>17</v>
      </c>
      <c r="B41" s="10" t="s">
        <v>42</v>
      </c>
      <c r="C41" s="131">
        <f>8503878</f>
        <v>8503878</v>
      </c>
      <c r="D41" s="129">
        <f>5175296+1060000+655000</f>
        <v>6890296</v>
      </c>
      <c r="E41" s="130">
        <f>4491261</f>
        <v>4491261</v>
      </c>
      <c r="F41" s="129">
        <f>2196164</f>
        <v>2196164</v>
      </c>
      <c r="G41" s="129">
        <f>428744</f>
        <v>428744</v>
      </c>
      <c r="H41" s="128"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</row>
    <row r="42" spans="1:254" s="1" customFormat="1" ht="22.5" customHeight="1" x14ac:dyDescent="0.25">
      <c r="A42" s="9" t="s">
        <v>6</v>
      </c>
      <c r="B42" s="206" t="s">
        <v>43</v>
      </c>
      <c r="C42" s="127">
        <f>4549912</f>
        <v>4549912</v>
      </c>
      <c r="D42" s="125">
        <f>3273567</f>
        <v>3273567</v>
      </c>
      <c r="E42" s="126">
        <v>1997222</v>
      </c>
      <c r="F42" s="125">
        <v>720877</v>
      </c>
      <c r="G42" s="125">
        <v>0</v>
      </c>
      <c r="H42" s="124">
        <f>0</f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</row>
    <row r="43" spans="1:254" s="1" customFormat="1" ht="38.25" customHeight="1" x14ac:dyDescent="0.25">
      <c r="A43" s="8" t="s">
        <v>8</v>
      </c>
      <c r="B43" s="206" t="s">
        <v>44</v>
      </c>
      <c r="C43" s="127">
        <f>1276345</f>
        <v>1276345</v>
      </c>
      <c r="D43" s="125">
        <f>1276345</f>
        <v>1276345</v>
      </c>
      <c r="E43" s="126">
        <v>1276345</v>
      </c>
      <c r="F43" s="125">
        <v>1276345</v>
      </c>
      <c r="G43" s="125">
        <v>720877</v>
      </c>
      <c r="H43" s="124">
        <f>0</f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</row>
    <row r="44" spans="1:254" s="1" customFormat="1" ht="37.5" customHeight="1" x14ac:dyDescent="0.25">
      <c r="A44" s="7">
        <v>18</v>
      </c>
      <c r="B44" s="207" t="s">
        <v>45</v>
      </c>
      <c r="C44" s="123">
        <f>0</f>
        <v>0</v>
      </c>
      <c r="D44" s="121">
        <f>0</f>
        <v>0</v>
      </c>
      <c r="E44" s="122">
        <f>0</f>
        <v>0</v>
      </c>
      <c r="F44" s="121">
        <f>0</f>
        <v>0</v>
      </c>
      <c r="G44" s="121">
        <f>0</f>
        <v>0</v>
      </c>
      <c r="H44" s="120">
        <f>0</f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</row>
    <row r="45" spans="1:254" s="1" customFormat="1" ht="22.5" customHeight="1" x14ac:dyDescent="0.25">
      <c r="A45" s="7">
        <v>19</v>
      </c>
      <c r="B45" s="207" t="s">
        <v>46</v>
      </c>
      <c r="C45" s="118" t="s">
        <v>29</v>
      </c>
      <c r="D45" s="119" t="s">
        <v>29</v>
      </c>
      <c r="E45" s="113">
        <f>'Wlk. inform.'!H11</f>
        <v>2.7940019003602684E-2</v>
      </c>
      <c r="F45" s="113">
        <f>'Wlk. inform.'!I11</f>
        <v>2.8978014192121638E-2</v>
      </c>
      <c r="G45" s="113">
        <f>'Wlk. inform.'!J11</f>
        <v>2.2267570118872183E-2</v>
      </c>
      <c r="H45" s="161">
        <f>'Wlk. inform.'!K11</f>
        <v>5.1040879474241975E-3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spans="1:254" s="1" customFormat="1" ht="22.5" customHeight="1" x14ac:dyDescent="0.25">
      <c r="A46" s="7" t="s">
        <v>6</v>
      </c>
      <c r="B46" s="207" t="s">
        <v>47</v>
      </c>
      <c r="C46" s="118" t="s">
        <v>29</v>
      </c>
      <c r="D46" s="117" t="s">
        <v>29</v>
      </c>
      <c r="E46" s="113">
        <f>'Wlk. inform.'!H13</f>
        <v>2.9078992103376777E-2</v>
      </c>
      <c r="F46" s="113">
        <f>'Wlk. inform.'!I13</f>
        <v>7.6151327762379345E-2</v>
      </c>
      <c r="G46" s="113">
        <f>'Wlk. inform.'!J13</f>
        <v>7.5297074274146669E-2</v>
      </c>
      <c r="H46" s="161">
        <f>'Wlk. inform.'!K13</f>
        <v>3.8221216689799928E-2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</row>
    <row r="47" spans="1:254" s="1" customFormat="1" ht="22.5" customHeight="1" x14ac:dyDescent="0.25">
      <c r="A47" s="7">
        <v>20</v>
      </c>
      <c r="B47" s="208" t="s">
        <v>48</v>
      </c>
      <c r="C47" s="114" t="s">
        <v>29</v>
      </c>
      <c r="D47" s="113" t="s">
        <v>29</v>
      </c>
      <c r="E47" s="113" t="s">
        <v>49</v>
      </c>
      <c r="F47" s="116" t="s">
        <v>49</v>
      </c>
      <c r="G47" s="116" t="s">
        <v>49</v>
      </c>
      <c r="H47" s="115" t="s">
        <v>49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</row>
    <row r="48" spans="1:254" s="1" customFormat="1" ht="22.5" customHeight="1" x14ac:dyDescent="0.25">
      <c r="A48" s="7">
        <v>21</v>
      </c>
      <c r="B48" s="207" t="s">
        <v>50</v>
      </c>
      <c r="C48" s="114">
        <f>C34/C8</f>
        <v>4.080390432963947E-2</v>
      </c>
      <c r="D48" s="113">
        <f>D34/D8</f>
        <v>3.1277730549120905E-2</v>
      </c>
      <c r="E48" s="112" t="s">
        <v>29</v>
      </c>
      <c r="F48" s="112" t="s">
        <v>29</v>
      </c>
      <c r="G48" s="112" t="s">
        <v>29</v>
      </c>
      <c r="H48" s="111" t="s">
        <v>29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</row>
    <row r="49" spans="1:254" s="1" customFormat="1" ht="22.5" customHeight="1" thickBot="1" x14ac:dyDescent="0.3">
      <c r="A49" s="6">
        <v>22</v>
      </c>
      <c r="B49" s="209" t="s">
        <v>51</v>
      </c>
      <c r="C49" s="110">
        <f>(C41-C42)/C8</f>
        <v>4.8739971532111036E-2</v>
      </c>
      <c r="D49" s="109">
        <f>(D41-D42)/D8</f>
        <v>4.4041060449380824E-2</v>
      </c>
      <c r="E49" s="108" t="s">
        <v>29</v>
      </c>
      <c r="F49" s="108" t="s">
        <v>29</v>
      </c>
      <c r="G49" s="108" t="s">
        <v>29</v>
      </c>
      <c r="H49" s="107" t="s">
        <v>29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</row>
    <row r="50" spans="1:254" s="1" customFormat="1" ht="16.5" thickBot="1" x14ac:dyDescent="0.3">
      <c r="A50" s="240"/>
      <c r="B50" s="241"/>
      <c r="C50" s="241"/>
      <c r="D50" s="241"/>
      <c r="E50" s="241"/>
      <c r="F50" s="241"/>
      <c r="G50" s="24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</row>
    <row r="51" spans="1:254" s="1" customFormat="1" ht="16.5" thickBot="1" x14ac:dyDescent="0.3">
      <c r="A51" s="106" t="s">
        <v>3</v>
      </c>
      <c r="B51" s="106" t="s">
        <v>4</v>
      </c>
      <c r="C51" s="105">
        <v>2012</v>
      </c>
      <c r="D51" s="104">
        <v>2013</v>
      </c>
      <c r="E51" s="104">
        <v>2014</v>
      </c>
      <c r="F51" s="104">
        <v>2015</v>
      </c>
      <c r="G51" s="104">
        <v>2016</v>
      </c>
      <c r="H51" s="103">
        <v>2017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</row>
    <row r="52" spans="1:254" s="1" customFormat="1" ht="36" customHeight="1" x14ac:dyDescent="0.25">
      <c r="A52" s="102">
        <v>1</v>
      </c>
      <c r="B52" s="101" t="s">
        <v>52</v>
      </c>
      <c r="C52" s="100">
        <f>'Wlk. inform.'!F12</f>
        <v>7.07618267282071E-3</v>
      </c>
      <c r="D52" s="100">
        <f>'Wlk. inform.'!G12</f>
        <v>0.11582261561860754</v>
      </c>
      <c r="E52" s="100">
        <f>'Wlk. inform.'!H12</f>
        <v>0.1055551849957098</v>
      </c>
      <c r="F52" s="100">
        <f>'Wlk. inform.'!I12</f>
        <v>4.5134222081226498E-3</v>
      </c>
      <c r="G52" s="100">
        <f>'Wlk. inform.'!J12</f>
        <v>4.5950428655673345E-3</v>
      </c>
      <c r="H52" s="99">
        <f>'Wlk. inform.'!K12</f>
        <v>2.2101962804443615E-3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</row>
    <row r="53" spans="1:254" s="1" customFormat="1" ht="22.5" customHeight="1" x14ac:dyDescent="0.25">
      <c r="A53" s="98">
        <v>2</v>
      </c>
      <c r="B53" s="97" t="s">
        <v>53</v>
      </c>
      <c r="C53" s="96">
        <f>'Wlk. inform.'!F13</f>
        <v>1.0050033794298722E-2</v>
      </c>
      <c r="D53" s="96">
        <f>'Wlk. inform.'!G13</f>
        <v>-7.75438486181585E-3</v>
      </c>
      <c r="E53" s="96">
        <f>'Wlk. inform.'!H13</f>
        <v>2.9078992103376777E-2</v>
      </c>
      <c r="F53" s="96">
        <f>'Wlk. inform.'!I13</f>
        <v>7.6151327762379345E-2</v>
      </c>
      <c r="G53" s="96">
        <f>'Wlk. inform.'!J13</f>
        <v>7.5297074274146669E-2</v>
      </c>
      <c r="H53" s="95">
        <f>'Wlk. inform.'!K13</f>
        <v>3.8221216689799928E-2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</row>
    <row r="54" spans="1:254" s="1" customFormat="1" ht="22.5" customHeight="1" x14ac:dyDescent="0.25">
      <c r="A54" s="98">
        <v>3</v>
      </c>
      <c r="B54" s="97" t="s">
        <v>54</v>
      </c>
      <c r="C54" s="96">
        <f>'Wlk. inform.'!F11</f>
        <v>4.080390432963947E-2</v>
      </c>
      <c r="D54" s="96">
        <f>'Wlk. inform.'!G11</f>
        <v>3.1277730549120905E-2</v>
      </c>
      <c r="E54" s="96">
        <f>'Wlk. inform.'!H11</f>
        <v>2.7940019003602684E-2</v>
      </c>
      <c r="F54" s="96">
        <f>'Wlk. inform.'!I11</f>
        <v>2.8978014192121638E-2</v>
      </c>
      <c r="G54" s="96">
        <f>'Wlk. inform.'!J11</f>
        <v>2.2267570118872183E-2</v>
      </c>
      <c r="H54" s="95">
        <f>'Wlk. inform.'!K11</f>
        <v>5.1040879474241975E-3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</row>
    <row r="55" spans="1:254" s="1" customFormat="1" ht="22.5" customHeight="1" thickBot="1" x14ac:dyDescent="0.3">
      <c r="A55" s="94">
        <v>4</v>
      </c>
      <c r="B55" s="93" t="s">
        <v>55</v>
      </c>
      <c r="C55" s="92" t="b">
        <f t="shared" ref="C55:H55" si="8">C54&lt;=C53</f>
        <v>0</v>
      </c>
      <c r="D55" s="91" t="b">
        <f t="shared" si="8"/>
        <v>0</v>
      </c>
      <c r="E55" s="90" t="b">
        <f t="shared" si="8"/>
        <v>1</v>
      </c>
      <c r="F55" s="90" t="b">
        <f t="shared" si="8"/>
        <v>1</v>
      </c>
      <c r="G55" s="90" t="b">
        <f t="shared" si="8"/>
        <v>1</v>
      </c>
      <c r="H55" s="89" t="b">
        <f t="shared" si="8"/>
        <v>1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</row>
    <row r="56" spans="1:254" s="1" customFormat="1" ht="15.75" x14ac:dyDescent="0.25">
      <c r="A56" s="4"/>
      <c r="B56" s="4"/>
      <c r="C56" s="5"/>
      <c r="D56" s="5"/>
      <c r="E56" s="4"/>
      <c r="F56" s="4"/>
      <c r="G56" s="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</row>
  </sheetData>
  <mergeCells count="3">
    <mergeCell ref="A5:G5"/>
    <mergeCell ref="A40:H40"/>
    <mergeCell ref="A50:G50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58" orientation="landscape" r:id="rId1"/>
  <headerFooter>
    <oddFooter>Strona &amp;P</oddFooter>
  </headerFooter>
  <rowBreaks count="1" manualBreakCount="1">
    <brk id="39" max="16383" man="1"/>
  </rowBreaks>
  <ignoredErrors>
    <ignoredError sqref="G11 G19 G2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"/>
  <sheetViews>
    <sheetView workbookViewId="0">
      <selection activeCell="A31" sqref="A31"/>
    </sheetView>
  </sheetViews>
  <sheetFormatPr defaultRowHeight="12.75" x14ac:dyDescent="0.2"/>
  <cols>
    <col min="1" max="1" width="39.42578125" style="162" customWidth="1"/>
    <col min="2" max="11" width="14.5703125" style="162" customWidth="1"/>
    <col min="12" max="12" width="46" style="162" customWidth="1"/>
    <col min="13" max="16384" width="9.140625" style="162"/>
  </cols>
  <sheetData>
    <row r="1" spans="1:12" ht="21.75" customHeight="1" thickBot="1" x14ac:dyDescent="0.25">
      <c r="A1" s="151" t="s">
        <v>4</v>
      </c>
      <c r="B1" s="142">
        <v>2008</v>
      </c>
      <c r="C1" s="141">
        <v>2009</v>
      </c>
      <c r="D1" s="140">
        <v>2010</v>
      </c>
      <c r="E1" s="139" t="s">
        <v>56</v>
      </c>
      <c r="F1" s="150">
        <v>2012</v>
      </c>
      <c r="G1" s="149">
        <v>2013</v>
      </c>
      <c r="H1" s="148">
        <v>2014</v>
      </c>
      <c r="I1" s="147">
        <v>2015</v>
      </c>
      <c r="J1" s="146">
        <v>2016</v>
      </c>
      <c r="K1" s="146">
        <v>2017</v>
      </c>
    </row>
    <row r="2" spans="1:12" ht="18" customHeight="1" x14ac:dyDescent="0.2">
      <c r="A2" s="163" t="s">
        <v>68</v>
      </c>
      <c r="B2" s="164">
        <v>68683386.069999993</v>
      </c>
      <c r="C2" s="165">
        <v>78348180.340000004</v>
      </c>
      <c r="D2" s="165">
        <v>86225359.959999993</v>
      </c>
      <c r="E2" s="166">
        <v>79275707</v>
      </c>
      <c r="F2" s="167">
        <f>WPF!C9</f>
        <v>77481169</v>
      </c>
      <c r="G2" s="167">
        <f>WPF!D9</f>
        <v>80289993</v>
      </c>
      <c r="H2" s="167">
        <f>WPF!E9</f>
        <v>81276849</v>
      </c>
      <c r="I2" s="167">
        <f>WPF!F9</f>
        <v>80692146</v>
      </c>
      <c r="J2" s="167">
        <f>WPF!G9</f>
        <v>82709450</v>
      </c>
      <c r="K2" s="167">
        <f>WPF!H9</f>
        <v>84777186</v>
      </c>
    </row>
    <row r="3" spans="1:12" ht="18" customHeight="1" x14ac:dyDescent="0.2">
      <c r="A3" s="168" t="s">
        <v>57</v>
      </c>
      <c r="B3" s="169">
        <v>439633.19</v>
      </c>
      <c r="C3" s="170">
        <v>96901.37</v>
      </c>
      <c r="D3" s="170">
        <v>687662.61</v>
      </c>
      <c r="E3" s="171">
        <v>212300</v>
      </c>
      <c r="F3" s="172">
        <f>WPF!C13</f>
        <v>1321445</v>
      </c>
      <c r="G3" s="172">
        <f>WPF!D13</f>
        <v>1510000</v>
      </c>
      <c r="H3" s="172">
        <f>WPF!E13</f>
        <v>200000</v>
      </c>
      <c r="I3" s="172">
        <f>WPF!F13</f>
        <v>200000</v>
      </c>
      <c r="J3" s="172">
        <f>WPF!G13</f>
        <v>200000</v>
      </c>
      <c r="K3" s="172">
        <f>WPF!H13</f>
        <v>0</v>
      </c>
    </row>
    <row r="4" spans="1:12" ht="18" customHeight="1" x14ac:dyDescent="0.2">
      <c r="A4" s="173" t="s">
        <v>58</v>
      </c>
      <c r="B4" s="174">
        <v>68248159.010000005</v>
      </c>
      <c r="C4" s="175">
        <v>73561741.829999998</v>
      </c>
      <c r="D4" s="175">
        <v>86424238.409999996</v>
      </c>
      <c r="E4" s="176">
        <v>82661627</v>
      </c>
      <c r="F4" s="177">
        <f>WPF!C14</f>
        <v>78228568</v>
      </c>
      <c r="G4" s="177">
        <f>WPF!D14</f>
        <v>72288437</v>
      </c>
      <c r="H4" s="177">
        <f>WPF!E14</f>
        <v>71469004</v>
      </c>
      <c r="I4" s="177">
        <f>WPF!F14</f>
        <v>80511314</v>
      </c>
      <c r="J4" s="177">
        <f>WPF!G14</f>
        <v>82524097</v>
      </c>
      <c r="K4" s="177">
        <f>WPF!H14</f>
        <v>84587199</v>
      </c>
    </row>
    <row r="5" spans="1:12" ht="18" customHeight="1" x14ac:dyDescent="0.2">
      <c r="A5" s="173" t="s">
        <v>59</v>
      </c>
      <c r="B5" s="169">
        <v>71057227.480000004</v>
      </c>
      <c r="C5" s="170">
        <v>80730454.599999994</v>
      </c>
      <c r="D5" s="170">
        <v>91833830.519999996</v>
      </c>
      <c r="E5" s="171">
        <v>88992088</v>
      </c>
      <c r="F5" s="172">
        <f>WPF!C8</f>
        <v>81123683</v>
      </c>
      <c r="G5" s="172">
        <f>WPF!D8</f>
        <v>82121751</v>
      </c>
      <c r="H5" s="172">
        <f>WPF!E8</f>
        <v>94811496</v>
      </c>
      <c r="I5" s="172">
        <f>WPF!F8</f>
        <v>84377659</v>
      </c>
      <c r="J5" s="172">
        <f>WPF!G8</f>
        <v>83862765</v>
      </c>
      <c r="K5" s="172">
        <f>WPF!H8</f>
        <v>85959333.875</v>
      </c>
    </row>
    <row r="6" spans="1:12" ht="29.25" customHeight="1" x14ac:dyDescent="0.2">
      <c r="A6" s="145" t="s">
        <v>60</v>
      </c>
      <c r="B6" s="178">
        <v>999581.65</v>
      </c>
      <c r="C6" s="179">
        <v>973316</v>
      </c>
      <c r="D6" s="179">
        <v>1336906</v>
      </c>
      <c r="E6" s="171">
        <v>1575349</v>
      </c>
      <c r="F6" s="144">
        <f>WPF!C35</f>
        <v>2660163</v>
      </c>
      <c r="G6" s="144">
        <f>WPF!D35</f>
        <v>2268582</v>
      </c>
      <c r="H6" s="144">
        <f>WPF!E35</f>
        <v>2399035</v>
      </c>
      <c r="I6" s="144">
        <f>WPF!F35</f>
        <v>2295097</v>
      </c>
      <c r="J6" s="144">
        <f>WPF!G35</f>
        <v>1767420</v>
      </c>
      <c r="K6" s="144">
        <f>WPF!H35</f>
        <v>428744</v>
      </c>
    </row>
    <row r="7" spans="1:12" ht="18" customHeight="1" thickBot="1" x14ac:dyDescent="0.25">
      <c r="A7" s="180" t="s">
        <v>61</v>
      </c>
      <c r="B7" s="181">
        <v>192156.68</v>
      </c>
      <c r="C7" s="182">
        <v>170607</v>
      </c>
      <c r="D7" s="182">
        <v>304332.28999999998</v>
      </c>
      <c r="E7" s="183">
        <v>596622</v>
      </c>
      <c r="F7" s="143">
        <f>WPF!C36</f>
        <v>650000</v>
      </c>
      <c r="G7" s="143">
        <f>WPF!D36</f>
        <v>300000</v>
      </c>
      <c r="H7" s="143">
        <f>WPF!E36</f>
        <v>250000</v>
      </c>
      <c r="I7" s="143">
        <f>WPF!F36</f>
        <v>150000</v>
      </c>
      <c r="J7" s="143">
        <f>WPF!G36</f>
        <v>100000</v>
      </c>
      <c r="K7" s="143">
        <f>WPF!H36</f>
        <v>10000</v>
      </c>
    </row>
    <row r="8" spans="1:12" ht="18" customHeight="1" thickBot="1" x14ac:dyDescent="0.25">
      <c r="A8" s="184" t="s">
        <v>62</v>
      </c>
      <c r="B8" s="185"/>
      <c r="C8" s="186"/>
      <c r="D8" s="186"/>
      <c r="E8" s="187">
        <v>6254818</v>
      </c>
      <c r="F8" s="188">
        <f>WPF!C28</f>
        <v>5581330</v>
      </c>
      <c r="G8" s="188">
        <f>WPF!D28</f>
        <v>1255018</v>
      </c>
      <c r="H8" s="188">
        <f>WPF!E28</f>
        <v>428752</v>
      </c>
      <c r="I8" s="188">
        <f>WPF!F28</f>
        <v>428752</v>
      </c>
      <c r="J8" s="188">
        <f>WPF!G28</f>
        <v>428752</v>
      </c>
      <c r="K8" s="188">
        <f>WPF!H28</f>
        <v>428744</v>
      </c>
    </row>
    <row r="9" spans="1:12" ht="13.5" thickBot="1" x14ac:dyDescent="0.25">
      <c r="A9" s="189"/>
    </row>
    <row r="10" spans="1:12" ht="13.5" thickBot="1" x14ac:dyDescent="0.25">
      <c r="A10" s="189"/>
      <c r="B10" s="142">
        <v>2008</v>
      </c>
      <c r="C10" s="141">
        <v>2009</v>
      </c>
      <c r="D10" s="140">
        <v>2010</v>
      </c>
      <c r="E10" s="139" t="s">
        <v>56</v>
      </c>
      <c r="F10" s="138">
        <v>2012</v>
      </c>
      <c r="G10" s="137">
        <v>2013</v>
      </c>
      <c r="H10" s="136">
        <v>2014</v>
      </c>
      <c r="I10" s="136">
        <v>2015</v>
      </c>
      <c r="J10" s="136">
        <v>2016</v>
      </c>
      <c r="K10" s="136">
        <v>2016</v>
      </c>
    </row>
    <row r="11" spans="1:12" ht="18" customHeight="1" x14ac:dyDescent="0.2">
      <c r="A11" s="135" t="s">
        <v>63</v>
      </c>
      <c r="B11" s="190">
        <f>(B6+B7)/B5</f>
        <v>1.6771528699672817E-2</v>
      </c>
      <c r="C11" s="191">
        <f t="shared" ref="C11:E11" si="0">(C6+C7)/C5</f>
        <v>1.4169658843962462E-2</v>
      </c>
      <c r="D11" s="191">
        <f t="shared" si="0"/>
        <v>1.7871826544821775E-2</v>
      </c>
      <c r="E11" s="192">
        <f t="shared" si="0"/>
        <v>2.4406338235372114E-2</v>
      </c>
      <c r="F11" s="134">
        <f>(F6+F7)/F5</f>
        <v>4.080390432963947E-2</v>
      </c>
      <c r="G11" s="134">
        <f t="shared" ref="G11:K11" si="1">(G6+G7)/G5</f>
        <v>3.1277730549120905E-2</v>
      </c>
      <c r="H11" s="134">
        <f t="shared" si="1"/>
        <v>2.7940019003602684E-2</v>
      </c>
      <c r="I11" s="134">
        <f t="shared" si="1"/>
        <v>2.8978014192121638E-2</v>
      </c>
      <c r="J11" s="134">
        <f t="shared" si="1"/>
        <v>2.2267570118872183E-2</v>
      </c>
      <c r="K11" s="134">
        <f t="shared" si="1"/>
        <v>5.1040879474241975E-3</v>
      </c>
      <c r="L11" s="160" t="s">
        <v>46</v>
      </c>
    </row>
    <row r="12" spans="1:12" ht="18" customHeight="1" x14ac:dyDescent="0.2">
      <c r="A12" s="133" t="s">
        <v>64</v>
      </c>
      <c r="B12" s="193">
        <f>(B2+B3-B4)/B5</f>
        <v>1.2312051581891878E-2</v>
      </c>
      <c r="C12" s="194">
        <f t="shared" ref="C12:D12" si="2">(C2+C3-C4)/C5</f>
        <v>6.0489438641164427E-2</v>
      </c>
      <c r="D12" s="194">
        <f t="shared" si="2"/>
        <v>5.3224847230296767E-3</v>
      </c>
      <c r="E12" s="195">
        <f>(E2+E3-E4)/E5</f>
        <v>-3.5661821981297935E-2</v>
      </c>
      <c r="F12" s="196">
        <f>(F2+F3-F4)/F5</f>
        <v>7.07618267282071E-3</v>
      </c>
      <c r="G12" s="196">
        <f t="shared" ref="G12:K12" si="3">(G2+G3-G4)/G5</f>
        <v>0.11582261561860754</v>
      </c>
      <c r="H12" s="196">
        <f t="shared" si="3"/>
        <v>0.1055551849957098</v>
      </c>
      <c r="I12" s="196">
        <f t="shared" si="3"/>
        <v>4.5134222081226498E-3</v>
      </c>
      <c r="J12" s="196">
        <f t="shared" si="3"/>
        <v>4.5950428655673345E-3</v>
      </c>
      <c r="K12" s="196">
        <f t="shared" si="3"/>
        <v>2.2101962804443615E-3</v>
      </c>
      <c r="L12" s="197"/>
    </row>
    <row r="13" spans="1:12" ht="26.25" thickBot="1" x14ac:dyDescent="0.25">
      <c r="A13" s="152" t="s">
        <v>65</v>
      </c>
      <c r="B13" s="198" t="s">
        <v>29</v>
      </c>
      <c r="C13" s="199" t="s">
        <v>29</v>
      </c>
      <c r="D13" s="199" t="s">
        <v>29</v>
      </c>
      <c r="E13" s="200">
        <f>(D12+C12+B12)/3</f>
        <v>2.6041324982028657E-2</v>
      </c>
      <c r="F13" s="153">
        <f>(E12+D12+C12)/3</f>
        <v>1.0050033794298722E-2</v>
      </c>
      <c r="G13" s="153">
        <f t="shared" ref="G13:K13" si="4">(F12+E12+D12)/3</f>
        <v>-7.75438486181585E-3</v>
      </c>
      <c r="H13" s="153">
        <f t="shared" si="4"/>
        <v>2.9078992103376777E-2</v>
      </c>
      <c r="I13" s="153">
        <f t="shared" si="4"/>
        <v>7.6151327762379345E-2</v>
      </c>
      <c r="J13" s="153">
        <f t="shared" si="4"/>
        <v>7.5297074274146669E-2</v>
      </c>
      <c r="K13" s="153">
        <f t="shared" si="4"/>
        <v>3.8221216689799928E-2</v>
      </c>
      <c r="L13" s="160" t="s">
        <v>47</v>
      </c>
    </row>
    <row r="14" spans="1:12" ht="18" customHeight="1" thickBot="1" x14ac:dyDescent="0.25">
      <c r="A14" s="201" t="s">
        <v>66</v>
      </c>
      <c r="B14" s="154" t="s">
        <v>29</v>
      </c>
      <c r="C14" s="155" t="s">
        <v>29</v>
      </c>
      <c r="D14" s="155" t="s">
        <v>29</v>
      </c>
      <c r="E14" s="156" t="b">
        <v>1</v>
      </c>
      <c r="F14" s="157" t="b">
        <v>0</v>
      </c>
      <c r="G14" s="158" t="b">
        <v>0</v>
      </c>
      <c r="H14" s="159" t="b">
        <v>1</v>
      </c>
      <c r="I14" s="159" t="b">
        <v>1</v>
      </c>
      <c r="J14" s="159" t="b">
        <v>1</v>
      </c>
      <c r="K14" s="159" t="b">
        <v>1</v>
      </c>
      <c r="L14" s="197"/>
    </row>
    <row r="15" spans="1:12" x14ac:dyDescent="0.2">
      <c r="L15" s="197"/>
    </row>
    <row r="16" spans="1:12" x14ac:dyDescent="0.2">
      <c r="L16" s="197"/>
    </row>
    <row r="17" spans="1:12" ht="38.25" x14ac:dyDescent="0.2">
      <c r="A17" s="202" t="s">
        <v>67</v>
      </c>
      <c r="B17" s="203" t="s">
        <v>29</v>
      </c>
      <c r="C17" s="203" t="s">
        <v>29</v>
      </c>
      <c r="D17" s="203" t="s">
        <v>29</v>
      </c>
      <c r="E17" s="203" t="b">
        <v>1</v>
      </c>
      <c r="F17" s="203" t="b">
        <v>1</v>
      </c>
      <c r="G17" s="203" t="b">
        <v>1</v>
      </c>
      <c r="H17" s="203" t="b">
        <v>1</v>
      </c>
      <c r="I17" s="203" t="b">
        <v>1</v>
      </c>
      <c r="J17" s="203" t="b">
        <v>1</v>
      </c>
      <c r="K17" s="203" t="b">
        <v>1</v>
      </c>
      <c r="L17" s="19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WPF</vt:lpstr>
      <vt:lpstr>Wlk. inform.</vt:lpstr>
      <vt:lpstr>Arkusz3</vt:lpstr>
      <vt:lpstr>WPF!Tytuły_wydruku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2012-10-12T07:59:45Z</dcterms:modified>
</cp:coreProperties>
</file>