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externalReferences>
    <externalReference r:id="rId4"/>
  </externalReferences>
  <definedNames>
    <definedName name="_xlnm.Print_Titles" localSheetId="0">Arkusz1!$7:$7</definedName>
  </definedNames>
  <calcPr calcId="145621"/>
</workbook>
</file>

<file path=xl/calcChain.xml><?xml version="1.0" encoding="utf-8"?>
<calcChain xmlns="http://schemas.openxmlformats.org/spreadsheetml/2006/main">
  <c r="D28" i="1" l="1"/>
  <c r="E23" i="1"/>
  <c r="D23" i="1"/>
  <c r="E22" i="1"/>
  <c r="D22" i="1"/>
  <c r="D19" i="1"/>
  <c r="E19" i="1"/>
  <c r="E20" i="1"/>
  <c r="D20" i="1"/>
  <c r="D9" i="1" l="1"/>
  <c r="D10" i="1"/>
  <c r="E10" i="1"/>
  <c r="E9" i="1"/>
  <c r="G11" i="1"/>
  <c r="E11" i="1"/>
  <c r="D11" i="1"/>
  <c r="F14" i="1"/>
  <c r="E14" i="1"/>
  <c r="D14" i="1"/>
  <c r="C36" i="1"/>
  <c r="C28" i="1"/>
  <c r="C24" i="1"/>
  <c r="C23" i="1"/>
  <c r="C22" i="1"/>
  <c r="C19" i="1"/>
  <c r="C16" i="1"/>
  <c r="C14" i="1"/>
  <c r="C10" i="1"/>
  <c r="C9" i="1"/>
  <c r="C20" i="1"/>
  <c r="G54" i="1" l="1"/>
  <c r="F54" i="1"/>
  <c r="E54" i="1"/>
  <c r="D54" i="1"/>
  <c r="C54" i="1"/>
  <c r="G53" i="1"/>
  <c r="F53" i="1"/>
  <c r="E53" i="1"/>
  <c r="D53" i="1"/>
  <c r="C53" i="1"/>
  <c r="G52" i="1"/>
  <c r="F52" i="1"/>
  <c r="E52" i="1"/>
  <c r="D52" i="1"/>
  <c r="C52" i="1"/>
  <c r="G46" i="1"/>
  <c r="F46" i="1"/>
  <c r="E46" i="1"/>
  <c r="G45" i="1"/>
  <c r="F45" i="1"/>
  <c r="E45" i="1"/>
  <c r="G44" i="1"/>
  <c r="F44" i="1"/>
  <c r="E44" i="1"/>
  <c r="D44" i="1"/>
  <c r="C44" i="1"/>
  <c r="D43" i="1"/>
  <c r="C43" i="1"/>
  <c r="D42" i="1"/>
  <c r="C42" i="1"/>
  <c r="D41" i="1"/>
  <c r="C41" i="1"/>
  <c r="G36" i="1"/>
  <c r="F36" i="1"/>
  <c r="F34" i="1" s="1"/>
  <c r="E36" i="1"/>
  <c r="D36" i="1"/>
  <c r="G35" i="1"/>
  <c r="G38" i="1" s="1"/>
  <c r="F35" i="1"/>
  <c r="F38" i="1" s="1"/>
  <c r="E35" i="1"/>
  <c r="E38" i="1" s="1"/>
  <c r="D35" i="1"/>
  <c r="D38" i="1" s="1"/>
  <c r="C35" i="1"/>
  <c r="C38" i="1" s="1"/>
  <c r="E34" i="1"/>
  <c r="G31" i="1"/>
  <c r="F31" i="1"/>
  <c r="E31" i="1"/>
  <c r="D31" i="1"/>
  <c r="C31" i="1"/>
  <c r="G30" i="1"/>
  <c r="F30" i="1"/>
  <c r="E30" i="1"/>
  <c r="E32" i="1" s="1"/>
  <c r="D30" i="1"/>
  <c r="C30" i="1"/>
  <c r="G29" i="1"/>
  <c r="F29" i="1"/>
  <c r="E29" i="1"/>
  <c r="D29" i="1"/>
  <c r="G28" i="1"/>
  <c r="F28" i="1"/>
  <c r="F32" i="1" s="1"/>
  <c r="G23" i="1"/>
  <c r="F23" i="1"/>
  <c r="G22" i="1"/>
  <c r="D25" i="1"/>
  <c r="G20" i="1"/>
  <c r="F20" i="1"/>
  <c r="G19" i="1"/>
  <c r="F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G15" i="1"/>
  <c r="F15" i="1"/>
  <c r="E15" i="1"/>
  <c r="D15" i="1"/>
  <c r="C15" i="1"/>
  <c r="G14" i="1"/>
  <c r="E25" i="1"/>
  <c r="G13" i="1"/>
  <c r="F13" i="1"/>
  <c r="E13" i="1"/>
  <c r="D13" i="1"/>
  <c r="C13" i="1"/>
  <c r="G12" i="1"/>
  <c r="F12" i="1"/>
  <c r="D12" i="1"/>
  <c r="C12" i="1"/>
  <c r="F11" i="1"/>
  <c r="C11" i="1"/>
  <c r="G10" i="1"/>
  <c r="F10" i="1"/>
  <c r="G9" i="1"/>
  <c r="G8" i="1" s="1"/>
  <c r="F9" i="1"/>
  <c r="D8" i="1"/>
  <c r="D33" i="1" s="1"/>
  <c r="C8" i="1"/>
  <c r="D55" i="1" l="1"/>
  <c r="C55" i="1"/>
  <c r="F25" i="1"/>
  <c r="G32" i="1"/>
  <c r="D49" i="1"/>
  <c r="E55" i="1"/>
  <c r="C25" i="1"/>
  <c r="C26" i="1" s="1"/>
  <c r="G25" i="1"/>
  <c r="C29" i="1"/>
  <c r="F55" i="1"/>
  <c r="E8" i="1"/>
  <c r="E33" i="1" s="1"/>
  <c r="E21" i="1" s="1"/>
  <c r="E39" i="1" s="1"/>
  <c r="G55" i="1"/>
  <c r="F8" i="1"/>
  <c r="D32" i="1"/>
  <c r="C32" i="1"/>
  <c r="C34" i="1"/>
  <c r="C48" i="1" s="1"/>
  <c r="G34" i="1"/>
  <c r="C49" i="1"/>
  <c r="C33" i="1"/>
  <c r="G33" i="1"/>
  <c r="G26" i="1"/>
  <c r="D34" i="1"/>
  <c r="D48" i="1" s="1"/>
  <c r="D26" i="1"/>
  <c r="F26" i="1" l="1"/>
  <c r="E26" i="1"/>
  <c r="G21" i="1"/>
  <c r="G39" i="1" s="1"/>
  <c r="F33" i="1"/>
  <c r="F21" i="1" s="1"/>
  <c r="F39" i="1" s="1"/>
  <c r="C21" i="1"/>
  <c r="C39" i="1" s="1"/>
  <c r="D21" i="1"/>
  <c r="D39" i="1" s="1"/>
</calcChain>
</file>

<file path=xl/sharedStrings.xml><?xml version="1.0" encoding="utf-8"?>
<sst xmlns="http://schemas.openxmlformats.org/spreadsheetml/2006/main" count="93" uniqueCount="58">
  <si>
    <t>Załącznik nr 1</t>
  </si>
  <si>
    <t>Rady Powiatu Brzeskiego</t>
  </si>
  <si>
    <t>Wieloletnia prognoza finansowa na lata 2012 - 2016</t>
  </si>
  <si>
    <t>Lp.</t>
  </si>
  <si>
    <t>Wyszczególnienie</t>
  </si>
  <si>
    <t>Dochody ogółem, z tego:</t>
  </si>
  <si>
    <t>a</t>
  </si>
  <si>
    <t>dochody bieżące, w tym:</t>
  </si>
  <si>
    <t>b</t>
  </si>
  <si>
    <t>środki z UE</t>
  </si>
  <si>
    <t>c</t>
  </si>
  <si>
    <t>dochody majątkowe, w tym:</t>
  </si>
  <si>
    <t>d</t>
  </si>
  <si>
    <t>e</t>
  </si>
  <si>
    <t>ze sprzedaży majątku</t>
  </si>
  <si>
    <t>Wydatki bieżące, w tym:</t>
  </si>
  <si>
    <t xml:space="preserve">na wynagrodzenia i składki od nich naliczane </t>
  </si>
  <si>
    <t xml:space="preserve">związane z funkcjonowaniem organów JST     </t>
  </si>
  <si>
    <t>z tytułu gwarancji i poręczeń, w tym:</t>
  </si>
  <si>
    <t>gwarancje i poręczenia podlegające wyłączeniu z limitów spłaty zobowiązań z art. 243 ufp/169 sufp</t>
  </si>
  <si>
    <t xml:space="preserve">wydatki bieżące objęte limitem art. 226 ust. 4 ufp      </t>
  </si>
  <si>
    <t>f</t>
  </si>
  <si>
    <t>na projekty realizowane przy udziale środków, o których mowa w art. 5 ust. 1 pkt 2</t>
  </si>
  <si>
    <t>Środki do dyspozycji na wydatki majątkowe (12-13-14)</t>
  </si>
  <si>
    <t>Wydatki majątkowe, w tym:</t>
  </si>
  <si>
    <t>wydatki majątkowe objęte limitem art. 226 ust. 4 ufp</t>
  </si>
  <si>
    <t>Wydatki ogółem (2+4)</t>
  </si>
  <si>
    <t>Wynik budżetu (1-5)</t>
  </si>
  <si>
    <t>Sposób sfinansowania deficytu/przeznaczenia nadwyżki</t>
  </si>
  <si>
    <t>x</t>
  </si>
  <si>
    <t>Nadwyżka budżetowa z lat ubiegłych plus wolne środki, zgodnie z art. 217 ufp, w tym:</t>
  </si>
  <si>
    <t>Nadwyżka budżetowa z lat ubiegłych plus wolne środki, zgodnie z art. 217 ufp, angażowane na pokrycie deficytu budżetu roku bieżącego</t>
  </si>
  <si>
    <t xml:space="preserve">Inne przychody niezwiązane z zaciągnięciem długu </t>
  </si>
  <si>
    <t>Przychody (kredyty, pożyczki, emisje obligacji)</t>
  </si>
  <si>
    <t>Przychody budżetu</t>
  </si>
  <si>
    <t>Środki do dyspozycji (1-2+8+9+13b)</t>
  </si>
  <si>
    <t>Spłata i obsługa długu, z tego:</t>
  </si>
  <si>
    <t>rozchody z tytułu spłaty rat kapitałowych oraz wykup papierów wartościowych</t>
  </si>
  <si>
    <t>wydatki bieżące na obsługę długu</t>
  </si>
  <si>
    <t>Inne rozchody (bez spłaty długu np. udzielane pożyczki)</t>
  </si>
  <si>
    <t>Wynik finansowy budżetu (3-4+10)</t>
  </si>
  <si>
    <t xml:space="preserve">Kwota długu, w tym: </t>
  </si>
  <si>
    <t>łączna kwota wyłączeń z art. 243 ust. 3 pkt 1 ufp oraz z art. 170 ust. 3 sufp</t>
  </si>
  <si>
    <t>kwota wyłączeń z art. 243 ust. 3 pkt 1 ufp oraz z art. 170 ust. 3 sufp przypadająca na dany rok budżetowy</t>
  </si>
  <si>
    <t xml:space="preserve">Kwota zobowiązań współtworzonego przez jst przypadających do spłaty w danym roku budżetowym podlegające doliczeniu zgodnie z art. 244 ufp </t>
  </si>
  <si>
    <t xml:space="preserve">Planowana łączna kwota spłaty zobowiązań </t>
  </si>
  <si>
    <t xml:space="preserve">Maksymalny dopuszczalny wskaźnik spłaty z art. 243 ufp </t>
  </si>
  <si>
    <t xml:space="preserve">Spełnienie wskaźnika spłaty z art. 243 ufp po uwzględnieniu art. 244 ufp                                                 </t>
  </si>
  <si>
    <t>TAK</t>
  </si>
  <si>
    <t xml:space="preserve">Planowana łączna kwota spłaty zobowiązań/dochody ogółem - max 15% z  art. 169 sufp </t>
  </si>
  <si>
    <t xml:space="preserve">Zadłużenie/dochody ogółem ((17-17a):1) - max 60% z art. 170 sufp </t>
  </si>
  <si>
    <t xml:space="preserve">(Dochody bieżące + sprzedaż majątku - wydatki bieżące)/ dochody ogółem (Db + Sm - Wb)/D - dla danego roku </t>
  </si>
  <si>
    <r>
      <t>Średnia arytmetyczna pozycji pierwszej z ostatnich trzech lat (</t>
    </r>
    <r>
      <rPr>
        <b/>
        <i/>
        <sz val="12"/>
        <rFont val="Arial CE"/>
        <charset val="238"/>
      </rPr>
      <t>prawa strona wzoru)</t>
    </r>
  </si>
  <si>
    <r>
      <t>Wskaźnik zadłużenia (</t>
    </r>
    <r>
      <rPr>
        <b/>
        <i/>
        <sz val="12"/>
        <rFont val="Arial CE"/>
        <charset val="238"/>
      </rPr>
      <t>lewa strona wzoru)</t>
    </r>
  </si>
  <si>
    <t>Ocena spełnienia warunku uchwalenia budżetu z art. 243 ufp</t>
  </si>
  <si>
    <t>Rozchody budżetu (13a+14)</t>
  </si>
  <si>
    <t>do uchwały nr XVIII/124/12</t>
  </si>
  <si>
    <t>z dnia 29 marca 2012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</si>
</sst>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2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sz val="12"/>
      <name val="Arial CE"/>
      <charset val="238"/>
    </font>
    <font>
      <sz val="10"/>
      <color indexed="10"/>
      <name val="Arial CE"/>
      <charset val="238"/>
    </font>
    <font>
      <b/>
      <sz val="10"/>
      <name val="Arial CE"/>
      <charset val="238"/>
    </font>
    <font>
      <b/>
      <sz val="10"/>
      <color theme="1"/>
      <name val="Arial CE"/>
      <charset val="238"/>
    </font>
    <font>
      <b/>
      <sz val="14"/>
      <name val="Arial CE"/>
      <charset val="238"/>
    </font>
    <font>
      <sz val="10"/>
      <color indexed="12"/>
      <name val="Arial CE"/>
      <charset val="238"/>
    </font>
    <font>
      <b/>
      <sz val="12"/>
      <name val="Arial CE"/>
      <charset val="238"/>
    </font>
    <font>
      <sz val="11"/>
      <name val="Arial CE"/>
      <charset val="238"/>
    </font>
    <font>
      <b/>
      <i/>
      <sz val="12"/>
      <name val="Arial CE"/>
      <charset val="238"/>
    </font>
    <font>
      <b/>
      <i/>
      <sz val="11"/>
      <name val="Arial CE"/>
      <charset val="238"/>
    </font>
    <font>
      <sz val="11"/>
      <color rgb="FFFF0000"/>
      <name val="Arial CE"/>
      <charset val="238"/>
    </font>
    <font>
      <sz val="10"/>
      <color rgb="FFFF0000"/>
      <name val="Arial CE"/>
      <charset val="238"/>
    </font>
    <font>
      <sz val="11"/>
      <color theme="8" tint="-0.249977111117893"/>
      <name val="Arial CE"/>
      <charset val="238"/>
    </font>
    <font>
      <sz val="10"/>
      <color theme="8" tint="-0.249977111117893"/>
      <name val="Arial CE"/>
      <charset val="238"/>
    </font>
    <font>
      <b/>
      <i/>
      <sz val="11"/>
      <color indexed="10"/>
      <name val="Arial CE"/>
      <charset val="238"/>
    </font>
    <font>
      <b/>
      <sz val="11"/>
      <color indexed="10"/>
      <name val="Arial CE"/>
      <charset val="238"/>
    </font>
    <font>
      <b/>
      <sz val="11"/>
      <name val="Arial CE"/>
      <charset val="238"/>
    </font>
    <font>
      <b/>
      <sz val="12"/>
      <name val="Arial"/>
      <family val="2"/>
      <charset val="238"/>
    </font>
    <font>
      <i/>
      <sz val="11"/>
      <name val="Arial CE"/>
      <charset val="238"/>
    </font>
    <font>
      <sz val="1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22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/>
    <xf numFmtId="0" fontId="2" fillId="0" borderId="0" xfId="0" applyFont="1" applyBorder="1"/>
    <xf numFmtId="0" fontId="0" fillId="0" borderId="0" xfId="0" applyFont="1" applyAlignment="1"/>
    <xf numFmtId="0" fontId="3" fillId="0" borderId="0" xfId="0" applyFont="1" applyFill="1"/>
    <xf numFmtId="0" fontId="0" fillId="0" borderId="0" xfId="0" applyFont="1" applyFill="1" applyBorder="1" applyAlignment="1"/>
    <xf numFmtId="0" fontId="7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0" xfId="0" applyFont="1"/>
    <xf numFmtId="3" fontId="10" fillId="3" borderId="7" xfId="0" applyNumberFormat="1" applyFont="1" applyFill="1" applyBorder="1" applyAlignment="1">
      <alignment horizontal="center" vertical="center"/>
    </xf>
    <xf numFmtId="3" fontId="10" fillId="3" borderId="8" xfId="0" applyNumberFormat="1" applyFont="1" applyFill="1" applyBorder="1" applyAlignment="1">
      <alignment horizontal="left" vertical="center" wrapText="1"/>
    </xf>
    <xf numFmtId="3" fontId="10" fillId="2" borderId="7" xfId="0" applyNumberFormat="1" applyFont="1" applyFill="1" applyBorder="1" applyAlignment="1" applyProtection="1">
      <alignment vertical="center"/>
    </xf>
    <xf numFmtId="3" fontId="10" fillId="0" borderId="9" xfId="0" applyNumberFormat="1" applyFont="1" applyFill="1" applyBorder="1" applyAlignment="1" applyProtection="1">
      <alignment vertical="center"/>
    </xf>
    <xf numFmtId="3" fontId="10" fillId="0" borderId="10" xfId="0" applyNumberFormat="1" applyFont="1" applyFill="1" applyBorder="1" applyAlignment="1" applyProtection="1">
      <alignment vertical="center"/>
    </xf>
    <xf numFmtId="3" fontId="10" fillId="0" borderId="11" xfId="0" applyNumberFormat="1" applyFont="1" applyFill="1" applyBorder="1" applyAlignment="1" applyProtection="1">
      <alignment vertical="center"/>
    </xf>
    <xf numFmtId="0" fontId="11" fillId="0" borderId="0" xfId="0" applyFont="1"/>
    <xf numFmtId="3" fontId="2" fillId="3" borderId="12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left" vertical="center" wrapText="1"/>
    </xf>
    <xf numFmtId="3" fontId="2" fillId="0" borderId="14" xfId="0" applyNumberFormat="1" applyFont="1" applyFill="1" applyBorder="1" applyAlignment="1">
      <alignment vertical="center"/>
    </xf>
    <xf numFmtId="3" fontId="2" fillId="0" borderId="15" xfId="0" applyNumberFormat="1" applyFont="1" applyFill="1" applyBorder="1" applyAlignment="1">
      <alignment vertical="center"/>
    </xf>
    <xf numFmtId="0" fontId="12" fillId="0" borderId="0" xfId="0" applyFont="1"/>
    <xf numFmtId="0" fontId="13" fillId="0" borderId="0" xfId="0" applyFont="1"/>
    <xf numFmtId="3" fontId="2" fillId="2" borderId="12" xfId="0" applyNumberFormat="1" applyFont="1" applyFill="1" applyBorder="1" applyAlignment="1">
      <alignment vertical="center"/>
    </xf>
    <xf numFmtId="3" fontId="2" fillId="3" borderId="16" xfId="0" applyNumberFormat="1" applyFont="1" applyFill="1" applyBorder="1" applyAlignment="1">
      <alignment horizontal="center" vertical="center"/>
    </xf>
    <xf numFmtId="3" fontId="2" fillId="2" borderId="16" xfId="0" applyNumberFormat="1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horizontal="center" vertical="center"/>
    </xf>
    <xf numFmtId="3" fontId="2" fillId="3" borderId="18" xfId="0" applyNumberFormat="1" applyFont="1" applyFill="1" applyBorder="1" applyAlignment="1">
      <alignment horizontal="left" vertical="center" wrapText="1"/>
    </xf>
    <xf numFmtId="3" fontId="2" fillId="2" borderId="17" xfId="0" applyNumberFormat="1" applyFont="1" applyFill="1" applyBorder="1" applyAlignment="1">
      <alignment vertical="center"/>
    </xf>
    <xf numFmtId="0" fontId="14" fillId="0" borderId="0" xfId="0" applyFont="1"/>
    <xf numFmtId="0" fontId="15" fillId="0" borderId="0" xfId="0" applyFont="1"/>
    <xf numFmtId="3" fontId="8" fillId="3" borderId="7" xfId="0" applyNumberFormat="1" applyFont="1" applyFill="1" applyBorder="1" applyAlignment="1">
      <alignment horizontal="center" vertical="center"/>
    </xf>
    <xf numFmtId="3" fontId="8" fillId="3" borderId="8" xfId="0" applyNumberFormat="1" applyFont="1" applyFill="1" applyBorder="1" applyAlignment="1">
      <alignment horizontal="left" vertical="center" wrapText="1"/>
    </xf>
    <xf numFmtId="3" fontId="8" fillId="0" borderId="19" xfId="0" applyNumberFormat="1" applyFont="1" applyFill="1" applyBorder="1" applyAlignment="1">
      <alignment horizontal="right" vertical="center"/>
    </xf>
    <xf numFmtId="3" fontId="8" fillId="0" borderId="20" xfId="0" applyNumberFormat="1" applyFont="1" applyFill="1" applyBorder="1" applyAlignment="1">
      <alignment horizontal="right" vertical="center"/>
    </xf>
    <xf numFmtId="3" fontId="2" fillId="3" borderId="26" xfId="0" applyNumberFormat="1" applyFont="1" applyFill="1" applyBorder="1" applyAlignment="1">
      <alignment vertical="center"/>
    </xf>
    <xf numFmtId="3" fontId="2" fillId="3" borderId="27" xfId="0" applyNumberFormat="1" applyFont="1" applyFill="1" applyBorder="1" applyAlignment="1">
      <alignment vertical="center"/>
    </xf>
    <xf numFmtId="3" fontId="8" fillId="3" borderId="28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Border="1" applyAlignment="1">
      <alignment horizontal="left" vertical="center" wrapText="1"/>
    </xf>
    <xf numFmtId="3" fontId="2" fillId="2" borderId="29" xfId="0" applyNumberFormat="1" applyFont="1" applyFill="1" applyBorder="1" applyAlignment="1">
      <alignment vertical="center"/>
    </xf>
    <xf numFmtId="3" fontId="2" fillId="0" borderId="30" xfId="0" applyNumberFormat="1" applyFont="1" applyFill="1" applyBorder="1" applyAlignment="1">
      <alignment vertical="center"/>
    </xf>
    <xf numFmtId="3" fontId="2" fillId="0" borderId="31" xfId="0" applyNumberFormat="1" applyFont="1" applyFill="1" applyBorder="1" applyAlignment="1">
      <alignment vertical="center"/>
    </xf>
    <xf numFmtId="3" fontId="2" fillId="0" borderId="32" xfId="0" applyNumberFormat="1" applyFont="1" applyFill="1" applyBorder="1" applyAlignment="1">
      <alignment vertical="center"/>
    </xf>
    <xf numFmtId="3" fontId="8" fillId="0" borderId="19" xfId="0" applyNumberFormat="1" applyFont="1" applyFill="1" applyBorder="1" applyAlignment="1">
      <alignment vertical="center"/>
    </xf>
    <xf numFmtId="3" fontId="8" fillId="0" borderId="33" xfId="0" applyNumberFormat="1" applyFont="1" applyFill="1" applyBorder="1" applyAlignment="1">
      <alignment vertical="center"/>
    </xf>
    <xf numFmtId="3" fontId="2" fillId="0" borderId="25" xfId="0" applyNumberFormat="1" applyFont="1" applyFill="1" applyBorder="1" applyAlignment="1">
      <alignment horizontal="right" vertical="center" wrapText="1"/>
    </xf>
    <xf numFmtId="3" fontId="2" fillId="0" borderId="26" xfId="0" applyNumberFormat="1" applyFont="1" applyFill="1" applyBorder="1" applyAlignment="1">
      <alignment horizontal="right" vertical="center" wrapText="1"/>
    </xf>
    <xf numFmtId="3" fontId="2" fillId="0" borderId="27" xfId="0" applyNumberFormat="1" applyFont="1" applyFill="1" applyBorder="1" applyAlignment="1">
      <alignment horizontal="right" vertical="center" wrapText="1"/>
    </xf>
    <xf numFmtId="3" fontId="10" fillId="2" borderId="37" xfId="0" applyNumberFormat="1" applyFont="1" applyFill="1" applyBorder="1" applyAlignment="1">
      <alignment vertical="center"/>
    </xf>
    <xf numFmtId="3" fontId="10" fillId="0" borderId="39" xfId="0" applyNumberFormat="1" applyFont="1" applyFill="1" applyBorder="1" applyAlignment="1">
      <alignment vertical="center"/>
    </xf>
    <xf numFmtId="3" fontId="10" fillId="0" borderId="40" xfId="0" applyNumberFormat="1" applyFont="1" applyFill="1" applyBorder="1" applyAlignment="1">
      <alignment vertical="center"/>
    </xf>
    <xf numFmtId="3" fontId="10" fillId="4" borderId="40" xfId="0" applyNumberFormat="1" applyFont="1" applyFill="1" applyBorder="1" applyAlignment="1">
      <alignment vertical="center"/>
    </xf>
    <xf numFmtId="3" fontId="10" fillId="4" borderId="41" xfId="0" applyNumberFormat="1" applyFont="1" applyFill="1" applyBorder="1" applyAlignment="1">
      <alignment vertical="center"/>
    </xf>
    <xf numFmtId="0" fontId="16" fillId="0" borderId="0" xfId="0" applyFont="1"/>
    <xf numFmtId="3" fontId="8" fillId="3" borderId="42" xfId="0" applyNumberFormat="1" applyFont="1" applyFill="1" applyBorder="1" applyAlignment="1">
      <alignment horizontal="center" vertical="center"/>
    </xf>
    <xf numFmtId="3" fontId="8" fillId="3" borderId="43" xfId="0" applyNumberFormat="1" applyFont="1" applyFill="1" applyBorder="1" applyAlignment="1">
      <alignment horizontal="left" vertical="center" wrapText="1"/>
    </xf>
    <xf numFmtId="3" fontId="8" fillId="2" borderId="42" xfId="0" applyNumberFormat="1" applyFont="1" applyFill="1" applyBorder="1" applyAlignment="1">
      <alignment vertical="center"/>
    </xf>
    <xf numFmtId="3" fontId="8" fillId="0" borderId="44" xfId="0" applyNumberFormat="1" applyFont="1" applyFill="1" applyBorder="1" applyAlignment="1">
      <alignment vertical="center"/>
    </xf>
    <xf numFmtId="3" fontId="8" fillId="0" borderId="45" xfId="0" applyNumberFormat="1" applyFont="1" applyFill="1" applyBorder="1" applyAlignment="1">
      <alignment vertical="center"/>
    </xf>
    <xf numFmtId="3" fontId="8" fillId="0" borderId="46" xfId="0" applyNumberFormat="1" applyFont="1" applyFill="1" applyBorder="1" applyAlignment="1">
      <alignment vertical="center"/>
    </xf>
    <xf numFmtId="0" fontId="17" fillId="0" borderId="0" xfId="0" applyFont="1"/>
    <xf numFmtId="3" fontId="8" fillId="2" borderId="7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3" fontId="8" fillId="0" borderId="33" xfId="0" applyNumberFormat="1" applyFont="1" applyFill="1" applyBorder="1" applyAlignment="1">
      <alignment horizontal="center" vertical="center"/>
    </xf>
    <xf numFmtId="3" fontId="8" fillId="3" borderId="33" xfId="0" applyNumberFormat="1" applyFont="1" applyFill="1" applyBorder="1" applyAlignment="1">
      <alignment horizontal="center" vertical="center"/>
    </xf>
    <xf numFmtId="3" fontId="8" fillId="3" borderId="34" xfId="0" applyNumberFormat="1" applyFont="1" applyFill="1" applyBorder="1" applyAlignment="1">
      <alignment horizontal="center" vertical="center"/>
    </xf>
    <xf numFmtId="0" fontId="18" fillId="0" borderId="0" xfId="0" applyFont="1"/>
    <xf numFmtId="0" fontId="19" fillId="0" borderId="12" xfId="0" applyFont="1" applyBorder="1" applyAlignment="1">
      <alignment horizontal="center" vertical="center"/>
    </xf>
    <xf numFmtId="3" fontId="8" fillId="3" borderId="13" xfId="0" applyNumberFormat="1" applyFont="1" applyFill="1" applyBorder="1" applyAlignment="1">
      <alignment horizontal="left" vertical="center" wrapText="1"/>
    </xf>
    <xf numFmtId="3" fontId="2" fillId="3" borderId="14" xfId="0" applyNumberFormat="1" applyFont="1" applyFill="1" applyBorder="1" applyAlignment="1">
      <alignment vertical="center"/>
    </xf>
    <xf numFmtId="3" fontId="2" fillId="0" borderId="35" xfId="0" applyNumberFormat="1" applyFont="1" applyFill="1" applyBorder="1" applyAlignment="1">
      <alignment vertical="center"/>
    </xf>
    <xf numFmtId="3" fontId="2" fillId="3" borderId="35" xfId="0" applyNumberFormat="1" applyFont="1" applyFill="1" applyBorder="1" applyAlignment="1">
      <alignment vertical="center"/>
    </xf>
    <xf numFmtId="3" fontId="2" fillId="3" borderId="36" xfId="0" applyNumberFormat="1" applyFont="1" applyFill="1" applyBorder="1" applyAlignment="1">
      <alignment vertical="center"/>
    </xf>
    <xf numFmtId="3" fontId="2" fillId="0" borderId="36" xfId="0" applyNumberFormat="1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horizontal="center" vertical="center"/>
    </xf>
    <xf numFmtId="3" fontId="8" fillId="3" borderId="18" xfId="0" applyNumberFormat="1" applyFont="1" applyFill="1" applyBorder="1" applyAlignment="1">
      <alignment horizontal="left" vertical="center" wrapText="1"/>
    </xf>
    <xf numFmtId="3" fontId="2" fillId="0" borderId="25" xfId="0" applyNumberFormat="1" applyFont="1" applyFill="1" applyBorder="1" applyAlignment="1">
      <alignment vertical="center"/>
    </xf>
    <xf numFmtId="3" fontId="2" fillId="0" borderId="26" xfId="0" applyNumberFormat="1" applyFont="1" applyFill="1" applyBorder="1" applyAlignment="1">
      <alignment vertical="center"/>
    </xf>
    <xf numFmtId="3" fontId="2" fillId="0" borderId="27" xfId="0" applyNumberFormat="1" applyFont="1" applyFill="1" applyBorder="1" applyAlignment="1">
      <alignment vertical="center"/>
    </xf>
    <xf numFmtId="3" fontId="2" fillId="2" borderId="28" xfId="0" applyNumberFormat="1" applyFont="1" applyFill="1" applyBorder="1" applyAlignment="1">
      <alignment vertical="center"/>
    </xf>
    <xf numFmtId="3" fontId="2" fillId="0" borderId="44" xfId="0" applyNumberFormat="1" applyFont="1" applyFill="1" applyBorder="1" applyAlignment="1">
      <alignment vertical="center"/>
    </xf>
    <xf numFmtId="3" fontId="2" fillId="0" borderId="45" xfId="0" applyNumberFormat="1" applyFont="1" applyFill="1" applyBorder="1" applyAlignment="1">
      <alignment vertical="center"/>
    </xf>
    <xf numFmtId="3" fontId="2" fillId="0" borderId="46" xfId="0" applyNumberFormat="1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center" vertical="center"/>
    </xf>
    <xf numFmtId="3" fontId="10" fillId="3" borderId="2" xfId="0" applyNumberFormat="1" applyFont="1" applyFill="1" applyBorder="1" applyAlignment="1">
      <alignment horizontal="left" vertical="center" wrapText="1"/>
    </xf>
    <xf numFmtId="3" fontId="10" fillId="2" borderId="1" xfId="0" applyNumberFormat="1" applyFont="1" applyFill="1" applyBorder="1" applyAlignment="1">
      <alignment vertical="center"/>
    </xf>
    <xf numFmtId="3" fontId="10" fillId="0" borderId="47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0" fontId="20" fillId="0" borderId="0" xfId="0" applyFont="1" applyBorder="1"/>
    <xf numFmtId="3" fontId="8" fillId="0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left" vertical="center" wrapText="1"/>
    </xf>
    <xf numFmtId="3" fontId="2" fillId="2" borderId="37" xfId="0" applyNumberFormat="1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vertical="center"/>
    </xf>
    <xf numFmtId="3" fontId="8" fillId="0" borderId="12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center" vertical="center"/>
    </xf>
    <xf numFmtId="3" fontId="8" fillId="3" borderId="21" xfId="0" applyNumberFormat="1" applyFont="1" applyFill="1" applyBorder="1" applyAlignment="1">
      <alignment horizontal="left" vertical="center" wrapText="1"/>
    </xf>
    <xf numFmtId="3" fontId="2" fillId="0" borderId="22" xfId="0" applyNumberFormat="1" applyFont="1" applyFill="1" applyBorder="1" applyAlignment="1">
      <alignment vertical="center"/>
    </xf>
    <xf numFmtId="3" fontId="2" fillId="0" borderId="23" xfId="0" applyNumberFormat="1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8" fillId="3" borderId="29" xfId="0" applyNumberFormat="1" applyFont="1" applyFill="1" applyBorder="1" applyAlignment="1">
      <alignment horizontal="center" vertical="center"/>
    </xf>
    <xf numFmtId="3" fontId="8" fillId="3" borderId="48" xfId="0" applyNumberFormat="1" applyFont="1" applyFill="1" applyBorder="1" applyAlignment="1">
      <alignment horizontal="left" vertical="center" wrapText="1"/>
    </xf>
    <xf numFmtId="3" fontId="8" fillId="2" borderId="29" xfId="0" applyNumberFormat="1" applyFont="1" applyFill="1" applyBorder="1" applyAlignment="1">
      <alignment vertical="center"/>
    </xf>
    <xf numFmtId="3" fontId="8" fillId="0" borderId="39" xfId="0" applyNumberFormat="1" applyFont="1" applyFill="1" applyBorder="1" applyAlignment="1">
      <alignment vertical="center"/>
    </xf>
    <xf numFmtId="3" fontId="8" fillId="0" borderId="40" xfId="0" applyNumberFormat="1" applyFont="1" applyFill="1" applyBorder="1" applyAlignment="1">
      <alignment vertical="center"/>
    </xf>
    <xf numFmtId="3" fontId="8" fillId="0" borderId="41" xfId="0" applyNumberFormat="1" applyFont="1" applyFill="1" applyBorder="1" applyAlignment="1">
      <alignment vertical="center"/>
    </xf>
    <xf numFmtId="3" fontId="8" fillId="0" borderId="7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vertical="center"/>
    </xf>
    <xf numFmtId="3" fontId="2" fillId="0" borderId="49" xfId="0" applyNumberFormat="1" applyFont="1" applyFill="1" applyBorder="1" applyAlignment="1">
      <alignment vertical="center"/>
    </xf>
    <xf numFmtId="3" fontId="2" fillId="0" borderId="33" xfId="0" applyNumberFormat="1" applyFont="1" applyFill="1" applyBorder="1" applyAlignment="1">
      <alignment vertical="center"/>
    </xf>
    <xf numFmtId="3" fontId="2" fillId="0" borderId="34" xfId="0" applyNumberFormat="1" applyFont="1" applyFill="1" applyBorder="1" applyAlignment="1">
      <alignment vertical="center"/>
    </xf>
    <xf numFmtId="3" fontId="2" fillId="3" borderId="50" xfId="0" applyNumberFormat="1" applyFont="1" applyFill="1" applyBorder="1" applyAlignment="1">
      <alignment vertical="center"/>
    </xf>
    <xf numFmtId="3" fontId="8" fillId="3" borderId="12" xfId="0" applyNumberFormat="1" applyFont="1" applyFill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right" vertical="center"/>
    </xf>
    <xf numFmtId="1" fontId="2" fillId="3" borderId="50" xfId="0" applyNumberFormat="1" applyFont="1" applyFill="1" applyBorder="1" applyAlignment="1">
      <alignment horizontal="right" vertical="center"/>
    </xf>
    <xf numFmtId="1" fontId="2" fillId="0" borderId="35" xfId="0" applyNumberFormat="1" applyFont="1" applyFill="1" applyBorder="1" applyAlignment="1">
      <alignment horizontal="right" vertical="center"/>
    </xf>
    <xf numFmtId="1" fontId="2" fillId="3" borderId="35" xfId="0" applyNumberFormat="1" applyFont="1" applyFill="1" applyBorder="1" applyAlignment="1">
      <alignment horizontal="right" vertical="center"/>
    </xf>
    <xf numFmtId="1" fontId="2" fillId="3" borderId="36" xfId="0" applyNumberFormat="1" applyFont="1" applyFill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3" borderId="50" xfId="0" applyNumberFormat="1" applyFont="1" applyFill="1" applyBorder="1" applyAlignment="1">
      <alignment horizontal="center" vertical="center"/>
    </xf>
    <xf numFmtId="164" fontId="2" fillId="0" borderId="35" xfId="0" applyNumberFormat="1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>
      <alignment horizontal="center" vertical="center"/>
    </xf>
    <xf numFmtId="4" fontId="8" fillId="3" borderId="13" xfId="0" applyNumberFormat="1" applyFont="1" applyFill="1" applyBorder="1" applyAlignment="1">
      <alignment horizontal="left" vertical="center" wrapText="1"/>
    </xf>
    <xf numFmtId="164" fontId="2" fillId="2" borderId="12" xfId="0" applyNumberFormat="1" applyFont="1" applyFill="1" applyBorder="1" applyAlignment="1">
      <alignment horizontal="center" vertical="center"/>
    </xf>
    <xf numFmtId="164" fontId="2" fillId="0" borderId="50" xfId="0" applyNumberFormat="1" applyFont="1" applyFill="1" applyBorder="1" applyAlignment="1">
      <alignment horizontal="center" vertical="center"/>
    </xf>
    <xf numFmtId="164" fontId="2" fillId="3" borderId="35" xfId="0" applyNumberFormat="1" applyFont="1" applyFill="1" applyBorder="1" applyAlignment="1">
      <alignment horizontal="center" vertical="center"/>
    </xf>
    <xf numFmtId="164" fontId="2" fillId="3" borderId="36" xfId="0" applyNumberFormat="1" applyFont="1" applyFill="1" applyBorder="1" applyAlignment="1">
      <alignment horizontal="center" vertical="center"/>
    </xf>
    <xf numFmtId="10" fontId="2" fillId="3" borderId="35" xfId="0" applyNumberFormat="1" applyFont="1" applyFill="1" applyBorder="1" applyAlignment="1">
      <alignment horizontal="center" vertical="center"/>
    </xf>
    <xf numFmtId="10" fontId="2" fillId="3" borderId="36" xfId="0" applyNumberFormat="1" applyFont="1" applyFill="1" applyBorder="1" applyAlignment="1">
      <alignment horizontal="center" vertical="center"/>
    </xf>
    <xf numFmtId="164" fontId="2" fillId="2" borderId="17" xfId="0" applyNumberFormat="1" applyFont="1" applyFill="1" applyBorder="1" applyAlignment="1">
      <alignment horizontal="center" vertical="center"/>
    </xf>
    <xf numFmtId="164" fontId="2" fillId="0" borderId="51" xfId="0" applyNumberFormat="1" applyFont="1" applyFill="1" applyBorder="1" applyAlignment="1">
      <alignment horizontal="center" vertical="center"/>
    </xf>
    <xf numFmtId="10" fontId="2" fillId="3" borderId="26" xfId="0" applyNumberFormat="1" applyFont="1" applyFill="1" applyBorder="1" applyAlignment="1">
      <alignment horizontal="center" vertical="center"/>
    </xf>
    <xf numFmtId="10" fontId="2" fillId="3" borderId="27" xfId="0" applyNumberFormat="1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 wrapText="1"/>
    </xf>
    <xf numFmtId="49" fontId="8" fillId="3" borderId="52" xfId="0" applyNumberFormat="1" applyFont="1" applyFill="1" applyBorder="1" applyAlignment="1">
      <alignment horizontal="center" vertical="center"/>
    </xf>
    <xf numFmtId="49" fontId="2" fillId="3" borderId="52" xfId="0" applyNumberFormat="1" applyFont="1" applyFill="1" applyBorder="1" applyAlignment="1">
      <alignment horizontal="left" vertical="center" wrapText="1"/>
    </xf>
    <xf numFmtId="164" fontId="2" fillId="3" borderId="49" xfId="0" applyNumberFormat="1" applyFont="1" applyFill="1" applyBorder="1" applyAlignment="1">
      <alignment horizontal="center" vertical="center"/>
    </xf>
    <xf numFmtId="49" fontId="8" fillId="3" borderId="53" xfId="0" applyNumberFormat="1" applyFont="1" applyFill="1" applyBorder="1" applyAlignment="1">
      <alignment horizontal="center" vertical="center"/>
    </xf>
    <xf numFmtId="49" fontId="8" fillId="3" borderId="53" xfId="0" applyNumberFormat="1" applyFont="1" applyFill="1" applyBorder="1" applyAlignment="1">
      <alignment horizontal="left" vertical="center"/>
    </xf>
    <xf numFmtId="164" fontId="8" fillId="3" borderId="50" xfId="0" applyNumberFormat="1" applyFont="1" applyFill="1" applyBorder="1" applyAlignment="1">
      <alignment horizontal="center" vertical="center"/>
    </xf>
    <xf numFmtId="49" fontId="8" fillId="3" borderId="54" xfId="0" applyNumberFormat="1" applyFont="1" applyFill="1" applyBorder="1" applyAlignment="1">
      <alignment horizontal="center" vertical="center"/>
    </xf>
    <xf numFmtId="49" fontId="2" fillId="3" borderId="54" xfId="0" applyNumberFormat="1" applyFont="1" applyFill="1" applyBorder="1" applyAlignment="1">
      <alignment horizontal="left" vertical="center"/>
    </xf>
    <xf numFmtId="0" fontId="2" fillId="3" borderId="51" xfId="0" applyFont="1" applyFill="1" applyBorder="1" applyAlignment="1">
      <alignment horizontal="center" vertical="center"/>
    </xf>
    <xf numFmtId="0" fontId="2" fillId="0" borderId="0" xfId="0" applyFont="1"/>
    <xf numFmtId="0" fontId="21" fillId="0" borderId="0" xfId="0" applyFont="1" applyAlignment="1">
      <alignment horizontal="center"/>
    </xf>
    <xf numFmtId="0" fontId="1" fillId="0" borderId="0" xfId="0" applyFont="1" applyBorder="1"/>
    <xf numFmtId="0" fontId="4" fillId="0" borderId="0" xfId="0" applyFont="1" applyFill="1" applyBorder="1"/>
    <xf numFmtId="0" fontId="5" fillId="0" borderId="0" xfId="0" applyFont="1" applyFill="1" applyBorder="1" applyAlignment="1"/>
    <xf numFmtId="3" fontId="8" fillId="2" borderId="7" xfId="0" applyNumberFormat="1" applyFont="1" applyFill="1" applyBorder="1" applyAlignment="1">
      <alignment horizontal="right" vertical="center"/>
    </xf>
    <xf numFmtId="3" fontId="2" fillId="2" borderId="16" xfId="0" applyNumberFormat="1" applyFont="1" applyFill="1" applyBorder="1" applyAlignment="1">
      <alignment horizontal="right" vertical="center"/>
    </xf>
    <xf numFmtId="3" fontId="8" fillId="2" borderId="7" xfId="0" applyNumberFormat="1" applyFont="1" applyFill="1" applyBorder="1" applyAlignment="1">
      <alignment vertical="center"/>
    </xf>
    <xf numFmtId="3" fontId="8" fillId="0" borderId="34" xfId="0" applyNumberFormat="1" applyFont="1" applyFill="1" applyBorder="1" applyAlignment="1">
      <alignment vertical="center"/>
    </xf>
    <xf numFmtId="3" fontId="2" fillId="0" borderId="14" xfId="0" applyNumberFormat="1" applyFont="1" applyFill="1" applyBorder="1" applyAlignment="1">
      <alignment horizontal="right" vertical="center" wrapText="1"/>
    </xf>
    <xf numFmtId="3" fontId="2" fillId="0" borderId="35" xfId="0" applyNumberFormat="1" applyFont="1" applyFill="1" applyBorder="1" applyAlignment="1">
      <alignment horizontal="right" vertical="center" wrapText="1"/>
    </xf>
    <xf numFmtId="3" fontId="2" fillId="0" borderId="36" xfId="0" applyNumberFormat="1" applyFont="1" applyFill="1" applyBorder="1" applyAlignment="1">
      <alignment horizontal="right" vertical="center" wrapText="1"/>
    </xf>
    <xf numFmtId="3" fontId="2" fillId="0" borderId="13" xfId="0" applyNumberFormat="1" applyFont="1" applyFill="1" applyBorder="1" applyAlignment="1">
      <alignment horizontal="left" vertical="center" wrapText="1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left" vertical="center" wrapText="1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left" vertical="center" wrapText="1"/>
    </xf>
    <xf numFmtId="3" fontId="8" fillId="0" borderId="28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left" vertical="center" wrapText="1"/>
    </xf>
    <xf numFmtId="3" fontId="8" fillId="0" borderId="8" xfId="0" applyNumberFormat="1" applyFont="1" applyFill="1" applyBorder="1" applyAlignment="1">
      <alignment horizontal="left" vertical="center" wrapText="1"/>
    </xf>
    <xf numFmtId="3" fontId="10" fillId="0" borderId="37" xfId="0" applyNumberFormat="1" applyFont="1" applyFill="1" applyBorder="1" applyAlignment="1">
      <alignment horizontal="center" vertical="center"/>
    </xf>
    <xf numFmtId="3" fontId="10" fillId="0" borderId="38" xfId="0" applyNumberFormat="1" applyFont="1" applyFill="1" applyBorder="1" applyAlignment="1">
      <alignment horizontal="left" vertical="center" wrapText="1"/>
    </xf>
    <xf numFmtId="0" fontId="2" fillId="0" borderId="51" xfId="0" applyFont="1" applyFill="1" applyBorder="1" applyAlignment="1">
      <alignment horizontal="center" vertical="center"/>
    </xf>
    <xf numFmtId="164" fontId="2" fillId="0" borderId="36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8" fillId="3" borderId="12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3" fontId="2" fillId="3" borderId="0" xfId="0" applyNumberFormat="1" applyFont="1" applyFill="1" applyBorder="1" applyAlignment="1">
      <alignment horizontal="center" vertical="center"/>
    </xf>
    <xf numFmtId="3" fontId="2" fillId="3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horizontal="center" vertical="top"/>
    </xf>
    <xf numFmtId="3" fontId="2" fillId="3" borderId="0" xfId="0" applyNumberFormat="1" applyFont="1" applyFill="1" applyBorder="1" applyAlignment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si&#281;gowosc/Pulpit/WPF/wpf%20robocza%20%20-%202012/Za&#322;.%201%20WPF%20-%20zmiany%20-%202012.03.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F"/>
      <sheetName val="Wlk. inform."/>
      <sheetName val="Arkusz3"/>
    </sheetNames>
    <sheetDataSet>
      <sheetData sheetId="0"/>
      <sheetData sheetId="1">
        <row r="11">
          <cell r="F11">
            <v>4.0796961315872127E-2</v>
          </cell>
          <cell r="G11">
            <v>3.18596652657668E-2</v>
          </cell>
          <cell r="H11">
            <v>2.3417866964149579E-2</v>
          </cell>
          <cell r="I11">
            <v>2.3896669140820795E-2</v>
          </cell>
          <cell r="J11">
            <v>1.7155027025402753E-2</v>
          </cell>
        </row>
        <row r="12">
          <cell r="F12">
            <v>1.3162596145907349E-2</v>
          </cell>
          <cell r="G12">
            <v>9.9372140900288813E-2</v>
          </cell>
          <cell r="H12">
            <v>0.1055551849957098</v>
          </cell>
          <cell r="I12">
            <v>4.5134222081226498E-3</v>
          </cell>
          <cell r="J12">
            <v>4.5950428655673345E-3</v>
          </cell>
        </row>
        <row r="13">
          <cell r="F13">
            <v>1.0025784488198164E-2</v>
          </cell>
          <cell r="G13">
            <v>-5.7498296768875292E-3</v>
          </cell>
          <cell r="H13">
            <v>2.5624305021632748E-2</v>
          </cell>
          <cell r="I13">
            <v>7.2696640680635319E-2</v>
          </cell>
          <cell r="J13">
            <v>6.9813582701373764E-2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6"/>
  <sheetViews>
    <sheetView tabSelected="1" view="pageBreakPreview" zoomScaleNormal="100" zoomScaleSheetLayoutView="100" workbookViewId="0">
      <selection activeCell="B19" sqref="B19"/>
    </sheetView>
  </sheetViews>
  <sheetFormatPr defaultRowHeight="15" x14ac:dyDescent="0.25"/>
  <cols>
    <col min="1" max="1" width="4.7109375" style="1" customWidth="1"/>
    <col min="2" max="2" width="106.5703125" style="1" customWidth="1"/>
    <col min="3" max="7" width="21.42578125" style="1" customWidth="1"/>
    <col min="8" max="255" width="9.140625" style="1"/>
    <col min="257" max="257" width="4.7109375" customWidth="1"/>
    <col min="258" max="258" width="104.7109375" customWidth="1"/>
    <col min="259" max="263" width="19.85546875" customWidth="1"/>
    <col min="513" max="513" width="4.7109375" customWidth="1"/>
    <col min="514" max="514" width="104.7109375" customWidth="1"/>
    <col min="515" max="519" width="19.85546875" customWidth="1"/>
    <col min="769" max="769" width="4.7109375" customWidth="1"/>
    <col min="770" max="770" width="104.7109375" customWidth="1"/>
    <col min="771" max="775" width="19.85546875" customWidth="1"/>
    <col min="1025" max="1025" width="4.7109375" customWidth="1"/>
    <col min="1026" max="1026" width="104.7109375" customWidth="1"/>
    <col min="1027" max="1031" width="19.85546875" customWidth="1"/>
    <col min="1281" max="1281" width="4.7109375" customWidth="1"/>
    <col min="1282" max="1282" width="104.7109375" customWidth="1"/>
    <col min="1283" max="1287" width="19.85546875" customWidth="1"/>
    <col min="1537" max="1537" width="4.7109375" customWidth="1"/>
    <col min="1538" max="1538" width="104.7109375" customWidth="1"/>
    <col min="1539" max="1543" width="19.85546875" customWidth="1"/>
    <col min="1793" max="1793" width="4.7109375" customWidth="1"/>
    <col min="1794" max="1794" width="104.7109375" customWidth="1"/>
    <col min="1795" max="1799" width="19.85546875" customWidth="1"/>
    <col min="2049" max="2049" width="4.7109375" customWidth="1"/>
    <col min="2050" max="2050" width="104.7109375" customWidth="1"/>
    <col min="2051" max="2055" width="19.85546875" customWidth="1"/>
    <col min="2305" max="2305" width="4.7109375" customWidth="1"/>
    <col min="2306" max="2306" width="104.7109375" customWidth="1"/>
    <col min="2307" max="2311" width="19.85546875" customWidth="1"/>
    <col min="2561" max="2561" width="4.7109375" customWidth="1"/>
    <col min="2562" max="2562" width="104.7109375" customWidth="1"/>
    <col min="2563" max="2567" width="19.85546875" customWidth="1"/>
    <col min="2817" max="2817" width="4.7109375" customWidth="1"/>
    <col min="2818" max="2818" width="104.7109375" customWidth="1"/>
    <col min="2819" max="2823" width="19.85546875" customWidth="1"/>
    <col min="3073" max="3073" width="4.7109375" customWidth="1"/>
    <col min="3074" max="3074" width="104.7109375" customWidth="1"/>
    <col min="3075" max="3079" width="19.85546875" customWidth="1"/>
    <col min="3329" max="3329" width="4.7109375" customWidth="1"/>
    <col min="3330" max="3330" width="104.7109375" customWidth="1"/>
    <col min="3331" max="3335" width="19.85546875" customWidth="1"/>
    <col min="3585" max="3585" width="4.7109375" customWidth="1"/>
    <col min="3586" max="3586" width="104.7109375" customWidth="1"/>
    <col min="3587" max="3591" width="19.85546875" customWidth="1"/>
    <col min="3841" max="3841" width="4.7109375" customWidth="1"/>
    <col min="3842" max="3842" width="104.7109375" customWidth="1"/>
    <col min="3843" max="3847" width="19.85546875" customWidth="1"/>
    <col min="4097" max="4097" width="4.7109375" customWidth="1"/>
    <col min="4098" max="4098" width="104.7109375" customWidth="1"/>
    <col min="4099" max="4103" width="19.85546875" customWidth="1"/>
    <col min="4353" max="4353" width="4.7109375" customWidth="1"/>
    <col min="4354" max="4354" width="104.7109375" customWidth="1"/>
    <col min="4355" max="4359" width="19.85546875" customWidth="1"/>
    <col min="4609" max="4609" width="4.7109375" customWidth="1"/>
    <col min="4610" max="4610" width="104.7109375" customWidth="1"/>
    <col min="4611" max="4615" width="19.85546875" customWidth="1"/>
    <col min="4865" max="4865" width="4.7109375" customWidth="1"/>
    <col min="4866" max="4866" width="104.7109375" customWidth="1"/>
    <col min="4867" max="4871" width="19.85546875" customWidth="1"/>
    <col min="5121" max="5121" width="4.7109375" customWidth="1"/>
    <col min="5122" max="5122" width="104.7109375" customWidth="1"/>
    <col min="5123" max="5127" width="19.85546875" customWidth="1"/>
    <col min="5377" max="5377" width="4.7109375" customWidth="1"/>
    <col min="5378" max="5378" width="104.7109375" customWidth="1"/>
    <col min="5379" max="5383" width="19.85546875" customWidth="1"/>
    <col min="5633" max="5633" width="4.7109375" customWidth="1"/>
    <col min="5634" max="5634" width="104.7109375" customWidth="1"/>
    <col min="5635" max="5639" width="19.85546875" customWidth="1"/>
    <col min="5889" max="5889" width="4.7109375" customWidth="1"/>
    <col min="5890" max="5890" width="104.7109375" customWidth="1"/>
    <col min="5891" max="5895" width="19.85546875" customWidth="1"/>
    <col min="6145" max="6145" width="4.7109375" customWidth="1"/>
    <col min="6146" max="6146" width="104.7109375" customWidth="1"/>
    <col min="6147" max="6151" width="19.85546875" customWidth="1"/>
    <col min="6401" max="6401" width="4.7109375" customWidth="1"/>
    <col min="6402" max="6402" width="104.7109375" customWidth="1"/>
    <col min="6403" max="6407" width="19.85546875" customWidth="1"/>
    <col min="6657" max="6657" width="4.7109375" customWidth="1"/>
    <col min="6658" max="6658" width="104.7109375" customWidth="1"/>
    <col min="6659" max="6663" width="19.85546875" customWidth="1"/>
    <col min="6913" max="6913" width="4.7109375" customWidth="1"/>
    <col min="6914" max="6914" width="104.7109375" customWidth="1"/>
    <col min="6915" max="6919" width="19.85546875" customWidth="1"/>
    <col min="7169" max="7169" width="4.7109375" customWidth="1"/>
    <col min="7170" max="7170" width="104.7109375" customWidth="1"/>
    <col min="7171" max="7175" width="19.85546875" customWidth="1"/>
    <col min="7425" max="7425" width="4.7109375" customWidth="1"/>
    <col min="7426" max="7426" width="104.7109375" customWidth="1"/>
    <col min="7427" max="7431" width="19.85546875" customWidth="1"/>
    <col min="7681" max="7681" width="4.7109375" customWidth="1"/>
    <col min="7682" max="7682" width="104.7109375" customWidth="1"/>
    <col min="7683" max="7687" width="19.85546875" customWidth="1"/>
    <col min="7937" max="7937" width="4.7109375" customWidth="1"/>
    <col min="7938" max="7938" width="104.7109375" customWidth="1"/>
    <col min="7939" max="7943" width="19.85546875" customWidth="1"/>
    <col min="8193" max="8193" width="4.7109375" customWidth="1"/>
    <col min="8194" max="8194" width="104.7109375" customWidth="1"/>
    <col min="8195" max="8199" width="19.85546875" customWidth="1"/>
    <col min="8449" max="8449" width="4.7109375" customWidth="1"/>
    <col min="8450" max="8450" width="104.7109375" customWidth="1"/>
    <col min="8451" max="8455" width="19.85546875" customWidth="1"/>
    <col min="8705" max="8705" width="4.7109375" customWidth="1"/>
    <col min="8706" max="8706" width="104.7109375" customWidth="1"/>
    <col min="8707" max="8711" width="19.85546875" customWidth="1"/>
    <col min="8961" max="8961" width="4.7109375" customWidth="1"/>
    <col min="8962" max="8962" width="104.7109375" customWidth="1"/>
    <col min="8963" max="8967" width="19.85546875" customWidth="1"/>
    <col min="9217" max="9217" width="4.7109375" customWidth="1"/>
    <col min="9218" max="9218" width="104.7109375" customWidth="1"/>
    <col min="9219" max="9223" width="19.85546875" customWidth="1"/>
    <col min="9473" max="9473" width="4.7109375" customWidth="1"/>
    <col min="9474" max="9474" width="104.7109375" customWidth="1"/>
    <col min="9475" max="9479" width="19.85546875" customWidth="1"/>
    <col min="9729" max="9729" width="4.7109375" customWidth="1"/>
    <col min="9730" max="9730" width="104.7109375" customWidth="1"/>
    <col min="9731" max="9735" width="19.85546875" customWidth="1"/>
    <col min="9985" max="9985" width="4.7109375" customWidth="1"/>
    <col min="9986" max="9986" width="104.7109375" customWidth="1"/>
    <col min="9987" max="9991" width="19.85546875" customWidth="1"/>
    <col min="10241" max="10241" width="4.7109375" customWidth="1"/>
    <col min="10242" max="10242" width="104.7109375" customWidth="1"/>
    <col min="10243" max="10247" width="19.85546875" customWidth="1"/>
    <col min="10497" max="10497" width="4.7109375" customWidth="1"/>
    <col min="10498" max="10498" width="104.7109375" customWidth="1"/>
    <col min="10499" max="10503" width="19.85546875" customWidth="1"/>
    <col min="10753" max="10753" width="4.7109375" customWidth="1"/>
    <col min="10754" max="10754" width="104.7109375" customWidth="1"/>
    <col min="10755" max="10759" width="19.85546875" customWidth="1"/>
    <col min="11009" max="11009" width="4.7109375" customWidth="1"/>
    <col min="11010" max="11010" width="104.7109375" customWidth="1"/>
    <col min="11011" max="11015" width="19.85546875" customWidth="1"/>
    <col min="11265" max="11265" width="4.7109375" customWidth="1"/>
    <col min="11266" max="11266" width="104.7109375" customWidth="1"/>
    <col min="11267" max="11271" width="19.85546875" customWidth="1"/>
    <col min="11521" max="11521" width="4.7109375" customWidth="1"/>
    <col min="11522" max="11522" width="104.7109375" customWidth="1"/>
    <col min="11523" max="11527" width="19.85546875" customWidth="1"/>
    <col min="11777" max="11777" width="4.7109375" customWidth="1"/>
    <col min="11778" max="11778" width="104.7109375" customWidth="1"/>
    <col min="11779" max="11783" width="19.85546875" customWidth="1"/>
    <col min="12033" max="12033" width="4.7109375" customWidth="1"/>
    <col min="12034" max="12034" width="104.7109375" customWidth="1"/>
    <col min="12035" max="12039" width="19.85546875" customWidth="1"/>
    <col min="12289" max="12289" width="4.7109375" customWidth="1"/>
    <col min="12290" max="12290" width="104.7109375" customWidth="1"/>
    <col min="12291" max="12295" width="19.85546875" customWidth="1"/>
    <col min="12545" max="12545" width="4.7109375" customWidth="1"/>
    <col min="12546" max="12546" width="104.7109375" customWidth="1"/>
    <col min="12547" max="12551" width="19.85546875" customWidth="1"/>
    <col min="12801" max="12801" width="4.7109375" customWidth="1"/>
    <col min="12802" max="12802" width="104.7109375" customWidth="1"/>
    <col min="12803" max="12807" width="19.85546875" customWidth="1"/>
    <col min="13057" max="13057" width="4.7109375" customWidth="1"/>
    <col min="13058" max="13058" width="104.7109375" customWidth="1"/>
    <col min="13059" max="13063" width="19.85546875" customWidth="1"/>
    <col min="13313" max="13313" width="4.7109375" customWidth="1"/>
    <col min="13314" max="13314" width="104.7109375" customWidth="1"/>
    <col min="13315" max="13319" width="19.85546875" customWidth="1"/>
    <col min="13569" max="13569" width="4.7109375" customWidth="1"/>
    <col min="13570" max="13570" width="104.7109375" customWidth="1"/>
    <col min="13571" max="13575" width="19.85546875" customWidth="1"/>
    <col min="13825" max="13825" width="4.7109375" customWidth="1"/>
    <col min="13826" max="13826" width="104.7109375" customWidth="1"/>
    <col min="13827" max="13831" width="19.85546875" customWidth="1"/>
    <col min="14081" max="14081" width="4.7109375" customWidth="1"/>
    <col min="14082" max="14082" width="104.7109375" customWidth="1"/>
    <col min="14083" max="14087" width="19.85546875" customWidth="1"/>
    <col min="14337" max="14337" width="4.7109375" customWidth="1"/>
    <col min="14338" max="14338" width="104.7109375" customWidth="1"/>
    <col min="14339" max="14343" width="19.85546875" customWidth="1"/>
    <col min="14593" max="14593" width="4.7109375" customWidth="1"/>
    <col min="14594" max="14594" width="104.7109375" customWidth="1"/>
    <col min="14595" max="14599" width="19.85546875" customWidth="1"/>
    <col min="14849" max="14849" width="4.7109375" customWidth="1"/>
    <col min="14850" max="14850" width="104.7109375" customWidth="1"/>
    <col min="14851" max="14855" width="19.85546875" customWidth="1"/>
    <col min="15105" max="15105" width="4.7109375" customWidth="1"/>
    <col min="15106" max="15106" width="104.7109375" customWidth="1"/>
    <col min="15107" max="15111" width="19.85546875" customWidth="1"/>
    <col min="15361" max="15361" width="4.7109375" customWidth="1"/>
    <col min="15362" max="15362" width="104.7109375" customWidth="1"/>
    <col min="15363" max="15367" width="19.85546875" customWidth="1"/>
    <col min="15617" max="15617" width="4.7109375" customWidth="1"/>
    <col min="15618" max="15618" width="104.7109375" customWidth="1"/>
    <col min="15619" max="15623" width="19.85546875" customWidth="1"/>
    <col min="15873" max="15873" width="4.7109375" customWidth="1"/>
    <col min="15874" max="15874" width="104.7109375" customWidth="1"/>
    <col min="15875" max="15879" width="19.85546875" customWidth="1"/>
    <col min="16129" max="16129" width="4.7109375" customWidth="1"/>
    <col min="16130" max="16130" width="104.7109375" customWidth="1"/>
    <col min="16131" max="16135" width="19.85546875" customWidth="1"/>
  </cols>
  <sheetData>
    <row r="1" spans="1:255" ht="15.75" x14ac:dyDescent="0.25">
      <c r="B1" s="152"/>
      <c r="F1" s="2" t="s">
        <v>0</v>
      </c>
      <c r="G1" s="3"/>
    </row>
    <row r="2" spans="1:255" ht="15.75" x14ac:dyDescent="0.25">
      <c r="A2" s="4"/>
      <c r="B2" s="153"/>
      <c r="F2" s="2" t="s">
        <v>56</v>
      </c>
      <c r="G2" s="5"/>
    </row>
    <row r="3" spans="1:255" ht="15.75" x14ac:dyDescent="0.25">
      <c r="A3" s="4"/>
      <c r="B3" s="154"/>
      <c r="F3" s="2" t="s">
        <v>1</v>
      </c>
      <c r="G3" s="3"/>
    </row>
    <row r="4" spans="1:255" ht="15.75" x14ac:dyDescent="0.25">
      <c r="B4" s="152"/>
      <c r="F4" s="2" t="s">
        <v>57</v>
      </c>
      <c r="G4" s="3"/>
    </row>
    <row r="5" spans="1:255" ht="18" x14ac:dyDescent="0.25">
      <c r="A5" s="177" t="s">
        <v>2</v>
      </c>
      <c r="B5" s="178"/>
      <c r="C5" s="178"/>
      <c r="D5" s="178"/>
      <c r="E5" s="178"/>
      <c r="F5" s="178"/>
      <c r="G5" s="178"/>
    </row>
    <row r="6" spans="1:255" ht="15.75" thickBot="1" x14ac:dyDescent="0.3">
      <c r="C6" s="6"/>
      <c r="D6" s="6"/>
      <c r="E6" s="6"/>
      <c r="F6" s="6"/>
      <c r="G6" s="6"/>
    </row>
    <row r="7" spans="1:255" ht="24" customHeight="1" thickBot="1" x14ac:dyDescent="0.3">
      <c r="A7" s="7" t="s">
        <v>3</v>
      </c>
      <c r="B7" s="8" t="s">
        <v>4</v>
      </c>
      <c r="C7" s="9">
        <v>2012</v>
      </c>
      <c r="D7" s="10">
        <v>2013</v>
      </c>
      <c r="E7" s="11">
        <v>2014</v>
      </c>
      <c r="F7" s="11">
        <v>2015</v>
      </c>
      <c r="G7" s="12">
        <v>2016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</row>
    <row r="8" spans="1:255" ht="21.75" customHeight="1" x14ac:dyDescent="0.25">
      <c r="A8" s="14">
        <v>1</v>
      </c>
      <c r="B8" s="15" t="s">
        <v>5</v>
      </c>
      <c r="C8" s="16">
        <f>C9+C11</f>
        <v>81137489</v>
      </c>
      <c r="D8" s="17">
        <f>D9+D11</f>
        <v>80621751</v>
      </c>
      <c r="E8" s="18">
        <f>E9+E11</f>
        <v>94811496</v>
      </c>
      <c r="F8" s="18">
        <f>F9+F11</f>
        <v>84377659</v>
      </c>
      <c r="G8" s="19">
        <f>G9+G11</f>
        <v>83862765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</row>
    <row r="9" spans="1:255" ht="21.75" customHeight="1" x14ac:dyDescent="0.25">
      <c r="A9" s="21" t="s">
        <v>6</v>
      </c>
      <c r="B9" s="22" t="s">
        <v>7</v>
      </c>
      <c r="C9" s="27">
        <f>78312232</f>
        <v>78312232</v>
      </c>
      <c r="D9" s="23">
        <f>80289993</f>
        <v>80289993</v>
      </c>
      <c r="E9" s="23">
        <f>81276849</f>
        <v>81276849</v>
      </c>
      <c r="F9" s="23">
        <f>80692146</f>
        <v>80692146</v>
      </c>
      <c r="G9" s="24">
        <f>82709450</f>
        <v>82709450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</row>
    <row r="10" spans="1:255" s="26" customFormat="1" ht="21.75" customHeight="1" x14ac:dyDescent="0.2">
      <c r="A10" s="21" t="s">
        <v>8</v>
      </c>
      <c r="B10" s="22" t="s">
        <v>9</v>
      </c>
      <c r="C10" s="27">
        <f>2211741</f>
        <v>2211741</v>
      </c>
      <c r="D10" s="23">
        <f>1171359</f>
        <v>1171359</v>
      </c>
      <c r="E10" s="23">
        <f>96050</f>
        <v>96050</v>
      </c>
      <c r="F10" s="23">
        <f>32300</f>
        <v>32300</v>
      </c>
      <c r="G10" s="24">
        <f>0</f>
        <v>0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  <c r="IU10" s="25"/>
    </row>
    <row r="11" spans="1:255" ht="21.75" customHeight="1" x14ac:dyDescent="0.25">
      <c r="A11" s="21" t="s">
        <v>10</v>
      </c>
      <c r="B11" s="22" t="s">
        <v>11</v>
      </c>
      <c r="C11" s="27">
        <f>2825257</f>
        <v>2825257</v>
      </c>
      <c r="D11" s="23">
        <f>331758</f>
        <v>331758</v>
      </c>
      <c r="E11" s="23">
        <f>13534647</f>
        <v>13534647</v>
      </c>
      <c r="F11" s="23">
        <f>3685513</f>
        <v>3685513</v>
      </c>
      <c r="G11" s="24">
        <f>1153315</f>
        <v>1153315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</row>
    <row r="12" spans="1:255" s="26" customFormat="1" ht="21.75" customHeight="1" x14ac:dyDescent="0.2">
      <c r="A12" s="28" t="s">
        <v>12</v>
      </c>
      <c r="B12" s="22" t="s">
        <v>9</v>
      </c>
      <c r="C12" s="29">
        <f>1180257</f>
        <v>1180257</v>
      </c>
      <c r="D12" s="23">
        <f>0</f>
        <v>0</v>
      </c>
      <c r="E12" s="23">
        <v>0</v>
      </c>
      <c r="F12" s="23">
        <f>0</f>
        <v>0</v>
      </c>
      <c r="G12" s="24">
        <f>0</f>
        <v>0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  <c r="IS12" s="25"/>
      <c r="IT12" s="25"/>
      <c r="IU12" s="25"/>
    </row>
    <row r="13" spans="1:255" s="34" customFormat="1" ht="21.75" customHeight="1" thickBot="1" x14ac:dyDescent="0.25">
      <c r="A13" s="30" t="s">
        <v>13</v>
      </c>
      <c r="B13" s="31" t="s">
        <v>14</v>
      </c>
      <c r="C13" s="32">
        <f>1150000</f>
        <v>1150000</v>
      </c>
      <c r="D13" s="23">
        <f>10000</f>
        <v>10000</v>
      </c>
      <c r="E13" s="23">
        <f>200000</f>
        <v>200000</v>
      </c>
      <c r="F13" s="23">
        <f>200000</f>
        <v>200000</v>
      </c>
      <c r="G13" s="24">
        <f>200000</f>
        <v>200000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</row>
    <row r="14" spans="1:255" ht="21.75" customHeight="1" x14ac:dyDescent="0.25">
      <c r="A14" s="35">
        <v>2</v>
      </c>
      <c r="B14" s="36" t="s">
        <v>15</v>
      </c>
      <c r="C14" s="155">
        <f>78394252</f>
        <v>78394252</v>
      </c>
      <c r="D14" s="37">
        <f>72288437</f>
        <v>72288437</v>
      </c>
      <c r="E14" s="37">
        <f>71469004</f>
        <v>71469004</v>
      </c>
      <c r="F14" s="37">
        <f>80511314</f>
        <v>80511314</v>
      </c>
      <c r="G14" s="38">
        <f>82524097</f>
        <v>82524097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</row>
    <row r="15" spans="1:255" ht="21.75" customHeight="1" x14ac:dyDescent="0.25">
      <c r="A15" s="21" t="s">
        <v>6</v>
      </c>
      <c r="B15" s="22" t="s">
        <v>16</v>
      </c>
      <c r="C15" s="27">
        <f>49439616</f>
        <v>49439616</v>
      </c>
      <c r="D15" s="23">
        <f>49680629</f>
        <v>49680629</v>
      </c>
      <c r="E15" s="23">
        <f>50922645</f>
        <v>50922645</v>
      </c>
      <c r="F15" s="23">
        <f>52195711</f>
        <v>52195711</v>
      </c>
      <c r="G15" s="24">
        <f>53500604</f>
        <v>53500604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</row>
    <row r="16" spans="1:255" ht="21.75" customHeight="1" x14ac:dyDescent="0.25">
      <c r="A16" s="21" t="s">
        <v>8</v>
      </c>
      <c r="B16" s="22" t="s">
        <v>17</v>
      </c>
      <c r="C16" s="156">
        <f>8589809</f>
        <v>8589809</v>
      </c>
      <c r="D16" s="23">
        <f>8784054</f>
        <v>8784054</v>
      </c>
      <c r="E16" s="23">
        <f>9003656</f>
        <v>9003656</v>
      </c>
      <c r="F16" s="23">
        <f>9228747</f>
        <v>9228747</v>
      </c>
      <c r="G16" s="24">
        <f>9459466</f>
        <v>9459466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</row>
    <row r="17" spans="1:255" ht="21.75" customHeight="1" x14ac:dyDescent="0.25">
      <c r="A17" s="21" t="s">
        <v>10</v>
      </c>
      <c r="B17" s="22" t="s">
        <v>18</v>
      </c>
      <c r="C17" s="27">
        <f>0</f>
        <v>0</v>
      </c>
      <c r="D17" s="23">
        <f>0</f>
        <v>0</v>
      </c>
      <c r="E17" s="23">
        <f>0</f>
        <v>0</v>
      </c>
      <c r="F17" s="23">
        <f>0</f>
        <v>0</v>
      </c>
      <c r="G17" s="24">
        <f>0</f>
        <v>0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</row>
    <row r="18" spans="1:255" ht="21.75" customHeight="1" x14ac:dyDescent="0.25">
      <c r="A18" s="100" t="s">
        <v>12</v>
      </c>
      <c r="B18" s="162" t="s">
        <v>19</v>
      </c>
      <c r="C18" s="27">
        <f>0</f>
        <v>0</v>
      </c>
      <c r="D18" s="23">
        <f>0</f>
        <v>0</v>
      </c>
      <c r="E18" s="23">
        <f>0</f>
        <v>0</v>
      </c>
      <c r="F18" s="23">
        <f>0</f>
        <v>0</v>
      </c>
      <c r="G18" s="24">
        <f>0</f>
        <v>0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</row>
    <row r="19" spans="1:255" s="34" customFormat="1" ht="21.75" customHeight="1" x14ac:dyDescent="0.2">
      <c r="A19" s="163" t="s">
        <v>13</v>
      </c>
      <c r="B19" s="164" t="s">
        <v>20</v>
      </c>
      <c r="C19" s="29">
        <f>3096291</f>
        <v>3096291</v>
      </c>
      <c r="D19" s="103">
        <f>2433137</f>
        <v>2433137</v>
      </c>
      <c r="E19" s="104">
        <f>865710</f>
        <v>865710</v>
      </c>
      <c r="F19" s="104">
        <f>908900</f>
        <v>908900</v>
      </c>
      <c r="G19" s="105">
        <f>923100</f>
        <v>923100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</row>
    <row r="20" spans="1:255" s="34" customFormat="1" ht="21.75" customHeight="1" thickBot="1" x14ac:dyDescent="0.25">
      <c r="A20" s="165" t="s">
        <v>21</v>
      </c>
      <c r="B20" s="166" t="s">
        <v>22</v>
      </c>
      <c r="C20" s="32">
        <f>2563891</f>
        <v>2563891</v>
      </c>
      <c r="D20" s="80">
        <f>1656437</f>
        <v>1656437</v>
      </c>
      <c r="E20" s="81">
        <f>154810</f>
        <v>154810</v>
      </c>
      <c r="F20" s="39">
        <f>38000</f>
        <v>38000</v>
      </c>
      <c r="G20" s="40">
        <f>0</f>
        <v>0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</row>
    <row r="21" spans="1:255" ht="21.75" customHeight="1" thickBot="1" x14ac:dyDescent="0.3">
      <c r="A21" s="167">
        <v>3</v>
      </c>
      <c r="B21" s="168" t="s">
        <v>23</v>
      </c>
      <c r="C21" s="43">
        <f>C33-C34-C37</f>
        <v>3650516</v>
      </c>
      <c r="D21" s="44">
        <f>D33-D34-D37</f>
        <v>9858635</v>
      </c>
      <c r="E21" s="45">
        <f>E33-E34-E37</f>
        <v>21372209</v>
      </c>
      <c r="F21" s="45">
        <f>F33-F34-F37</f>
        <v>2000000</v>
      </c>
      <c r="G21" s="46">
        <f>G33-G34-G37</f>
        <v>0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</row>
    <row r="22" spans="1:255" ht="21.75" customHeight="1" x14ac:dyDescent="0.25">
      <c r="A22" s="113">
        <v>4</v>
      </c>
      <c r="B22" s="169" t="s">
        <v>24</v>
      </c>
      <c r="C22" s="157">
        <f>3650516</f>
        <v>3650516</v>
      </c>
      <c r="D22" s="47">
        <f>9858635</f>
        <v>9858635</v>
      </c>
      <c r="E22" s="48">
        <f>21372209</f>
        <v>21372209</v>
      </c>
      <c r="F22" s="48">
        <v>2000000</v>
      </c>
      <c r="G22" s="158">
        <f>2015000-68000-1947000</f>
        <v>0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</row>
    <row r="23" spans="1:255" s="34" customFormat="1" ht="21.75" customHeight="1" x14ac:dyDescent="0.2">
      <c r="A23" s="100" t="s">
        <v>6</v>
      </c>
      <c r="B23" s="162" t="s">
        <v>25</v>
      </c>
      <c r="C23" s="27">
        <f>3431920</f>
        <v>3431920</v>
      </c>
      <c r="D23" s="159">
        <f>9858635</f>
        <v>9858635</v>
      </c>
      <c r="E23" s="160">
        <f>21372209</f>
        <v>21372209</v>
      </c>
      <c r="F23" s="160">
        <f>2000000</f>
        <v>2000000</v>
      </c>
      <c r="G23" s="161">
        <f>2015000-68000-1947000</f>
        <v>0</v>
      </c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</row>
    <row r="24" spans="1:255" s="34" customFormat="1" ht="21.75" customHeight="1" thickBot="1" x14ac:dyDescent="0.25">
      <c r="A24" s="165" t="s">
        <v>8</v>
      </c>
      <c r="B24" s="166" t="s">
        <v>22</v>
      </c>
      <c r="C24" s="32">
        <f>2143360</f>
        <v>2143360</v>
      </c>
      <c r="D24" s="49">
        <v>0</v>
      </c>
      <c r="E24" s="50">
        <v>0</v>
      </c>
      <c r="F24" s="50">
        <v>0</v>
      </c>
      <c r="G24" s="51">
        <v>0</v>
      </c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</row>
    <row r="25" spans="1:255" ht="21.75" customHeight="1" thickBot="1" x14ac:dyDescent="0.3">
      <c r="A25" s="170">
        <v>5</v>
      </c>
      <c r="B25" s="171" t="s">
        <v>26</v>
      </c>
      <c r="C25" s="52">
        <f>C22+C14</f>
        <v>82044768</v>
      </c>
      <c r="D25" s="53">
        <f>D22+D14</f>
        <v>82147072</v>
      </c>
      <c r="E25" s="54">
        <f>E22+E14</f>
        <v>92841213</v>
      </c>
      <c r="F25" s="55">
        <f>F22+F14</f>
        <v>82511314</v>
      </c>
      <c r="G25" s="56">
        <f>G22+G14</f>
        <v>82524097</v>
      </c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/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/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57"/>
      <c r="HJ25" s="57"/>
      <c r="HK25" s="57"/>
      <c r="HL25" s="57"/>
      <c r="HM25" s="57"/>
      <c r="HN25" s="57"/>
      <c r="HO25" s="57"/>
      <c r="HP25" s="57"/>
      <c r="HQ25" s="57"/>
      <c r="HR25" s="57"/>
      <c r="HS25" s="57"/>
      <c r="HT25" s="57"/>
      <c r="HU25" s="57"/>
      <c r="HV25" s="57"/>
      <c r="HW25" s="57"/>
      <c r="HX25" s="57"/>
      <c r="HY25" s="57"/>
      <c r="HZ25" s="57"/>
      <c r="IA25" s="57"/>
      <c r="IB25" s="57"/>
      <c r="IC25" s="57"/>
      <c r="ID25" s="57"/>
      <c r="IE25" s="57"/>
      <c r="IF25" s="57"/>
      <c r="IG25" s="57"/>
      <c r="IH25" s="57"/>
      <c r="II25" s="57"/>
      <c r="IJ25" s="57"/>
      <c r="IK25" s="57"/>
      <c r="IL25" s="57"/>
      <c r="IM25" s="57"/>
      <c r="IN25" s="57"/>
      <c r="IO25" s="57"/>
      <c r="IP25" s="57"/>
      <c r="IQ25" s="57"/>
      <c r="IR25" s="57"/>
      <c r="IS25" s="57"/>
      <c r="IT25" s="57"/>
      <c r="IU25" s="57"/>
    </row>
    <row r="26" spans="1:255" ht="21.75" customHeight="1" thickBot="1" x14ac:dyDescent="0.3">
      <c r="A26" s="58">
        <v>6</v>
      </c>
      <c r="B26" s="59" t="s">
        <v>27</v>
      </c>
      <c r="C26" s="60">
        <f>C8-C25</f>
        <v>-907279</v>
      </c>
      <c r="D26" s="61">
        <f>D8-D25</f>
        <v>-1525321</v>
      </c>
      <c r="E26" s="62">
        <f>E8-E25</f>
        <v>1970283</v>
      </c>
      <c r="F26" s="62">
        <f>F8-F25</f>
        <v>1866345</v>
      </c>
      <c r="G26" s="63">
        <f>G8-G25</f>
        <v>1338668</v>
      </c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4"/>
      <c r="ET26" s="64"/>
      <c r="EU26" s="64"/>
      <c r="EV26" s="64"/>
      <c r="EW26" s="64"/>
      <c r="EX26" s="64"/>
      <c r="EY26" s="64"/>
      <c r="EZ26" s="64"/>
      <c r="FA26" s="64"/>
      <c r="FB26" s="64"/>
      <c r="FC26" s="64"/>
      <c r="FD26" s="64"/>
      <c r="FE26" s="64"/>
      <c r="FF26" s="64"/>
      <c r="FG26" s="64"/>
      <c r="FH26" s="64"/>
      <c r="FI26" s="64"/>
      <c r="FJ26" s="64"/>
      <c r="FK26" s="64"/>
      <c r="FL26" s="64"/>
      <c r="FM26" s="64"/>
      <c r="FN26" s="64"/>
      <c r="FO26" s="64"/>
      <c r="FP26" s="64"/>
      <c r="FQ26" s="64"/>
      <c r="FR26" s="64"/>
      <c r="FS26" s="64"/>
      <c r="FT26" s="64"/>
      <c r="FU26" s="64"/>
      <c r="FV26" s="64"/>
      <c r="FW26" s="64"/>
      <c r="FX26" s="64"/>
      <c r="FY26" s="64"/>
      <c r="FZ26" s="64"/>
      <c r="GA26" s="64"/>
      <c r="GB26" s="64"/>
      <c r="GC26" s="64"/>
      <c r="GD26" s="64"/>
      <c r="GE26" s="64"/>
      <c r="GF26" s="64"/>
      <c r="GG26" s="64"/>
      <c r="GH26" s="64"/>
      <c r="GI26" s="64"/>
      <c r="GJ26" s="64"/>
      <c r="GK26" s="64"/>
      <c r="GL26" s="64"/>
      <c r="GM26" s="64"/>
      <c r="GN26" s="64"/>
      <c r="GO26" s="64"/>
      <c r="GP26" s="64"/>
      <c r="GQ26" s="64"/>
      <c r="GR26" s="64"/>
      <c r="GS26" s="64"/>
      <c r="GT26" s="64"/>
      <c r="GU26" s="64"/>
      <c r="GV26" s="64"/>
      <c r="GW26" s="64"/>
      <c r="GX26" s="64"/>
      <c r="GY26" s="64"/>
      <c r="GZ26" s="64"/>
      <c r="HA26" s="64"/>
      <c r="HB26" s="64"/>
      <c r="HC26" s="64"/>
      <c r="HD26" s="64"/>
      <c r="HE26" s="64"/>
      <c r="HF26" s="64"/>
      <c r="HG26" s="64"/>
      <c r="HH26" s="64"/>
      <c r="HI26" s="64"/>
      <c r="HJ26" s="64"/>
      <c r="HK26" s="64"/>
      <c r="HL26" s="64"/>
      <c r="HM26" s="64"/>
      <c r="HN26" s="64"/>
      <c r="HO26" s="64"/>
      <c r="HP26" s="64"/>
      <c r="HQ26" s="64"/>
      <c r="HR26" s="64"/>
      <c r="HS26" s="64"/>
      <c r="HT26" s="64"/>
      <c r="HU26" s="64"/>
      <c r="HV26" s="64"/>
      <c r="HW26" s="64"/>
      <c r="HX26" s="64"/>
      <c r="HY26" s="64"/>
      <c r="HZ26" s="64"/>
      <c r="IA26" s="64"/>
      <c r="IB26" s="64"/>
      <c r="IC26" s="64"/>
      <c r="ID26" s="64"/>
      <c r="IE26" s="64"/>
      <c r="IF26" s="64"/>
      <c r="IG26" s="64"/>
      <c r="IH26" s="64"/>
      <c r="II26" s="64"/>
      <c r="IJ26" s="64"/>
      <c r="IK26" s="64"/>
      <c r="IL26" s="64"/>
      <c r="IM26" s="64"/>
      <c r="IN26" s="64"/>
      <c r="IO26" s="64"/>
      <c r="IP26" s="64"/>
      <c r="IQ26" s="64"/>
      <c r="IR26" s="64"/>
      <c r="IS26" s="64"/>
      <c r="IT26" s="64"/>
      <c r="IU26" s="64"/>
    </row>
    <row r="27" spans="1:255" ht="21.75" customHeight="1" x14ac:dyDescent="0.25">
      <c r="A27" s="35">
        <v>7</v>
      </c>
      <c r="B27" s="36" t="s">
        <v>28</v>
      </c>
      <c r="C27" s="65" t="s">
        <v>29</v>
      </c>
      <c r="D27" s="66" t="s">
        <v>29</v>
      </c>
      <c r="E27" s="67" t="s">
        <v>29</v>
      </c>
      <c r="F27" s="68" t="s">
        <v>29</v>
      </c>
      <c r="G27" s="69" t="s">
        <v>29</v>
      </c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  <c r="IT27" s="70"/>
      <c r="IU27" s="70"/>
    </row>
    <row r="28" spans="1:255" ht="21.75" customHeight="1" x14ac:dyDescent="0.25">
      <c r="A28" s="71">
        <v>8</v>
      </c>
      <c r="B28" s="72" t="s">
        <v>30</v>
      </c>
      <c r="C28" s="27">
        <f>3567442</f>
        <v>3567442</v>
      </c>
      <c r="D28" s="73">
        <f>3793903</f>
        <v>3793903</v>
      </c>
      <c r="E28" s="74">
        <v>0</v>
      </c>
      <c r="F28" s="75">
        <f>0</f>
        <v>0</v>
      </c>
      <c r="G28" s="76">
        <f>0</f>
        <v>0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</row>
    <row r="29" spans="1:255" ht="36" customHeight="1" x14ac:dyDescent="0.25">
      <c r="A29" s="21" t="s">
        <v>6</v>
      </c>
      <c r="B29" s="22" t="s">
        <v>31</v>
      </c>
      <c r="C29" s="27">
        <f>C28-C35</f>
        <v>907279</v>
      </c>
      <c r="D29" s="23">
        <f>0</f>
        <v>0</v>
      </c>
      <c r="E29" s="74">
        <f>0</f>
        <v>0</v>
      </c>
      <c r="F29" s="74">
        <f>0</f>
        <v>0</v>
      </c>
      <c r="G29" s="77">
        <f>0</f>
        <v>0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</row>
    <row r="30" spans="1:255" ht="21" customHeight="1" thickBot="1" x14ac:dyDescent="0.3">
      <c r="A30" s="78">
        <v>9</v>
      </c>
      <c r="B30" s="79" t="s">
        <v>32</v>
      </c>
      <c r="C30" s="32">
        <f>0</f>
        <v>0</v>
      </c>
      <c r="D30" s="80">
        <f>0</f>
        <v>0</v>
      </c>
      <c r="E30" s="81">
        <f>0</f>
        <v>0</v>
      </c>
      <c r="F30" s="81">
        <f>0</f>
        <v>0</v>
      </c>
      <c r="G30" s="82">
        <f>0</f>
        <v>0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</row>
    <row r="31" spans="1:255" ht="21" customHeight="1" thickBot="1" x14ac:dyDescent="0.3">
      <c r="A31" s="41">
        <v>10</v>
      </c>
      <c r="B31" s="42" t="s">
        <v>33</v>
      </c>
      <c r="C31" s="83">
        <f>0</f>
        <v>0</v>
      </c>
      <c r="D31" s="84">
        <f>0</f>
        <v>0</v>
      </c>
      <c r="E31" s="85">
        <f>0</f>
        <v>0</v>
      </c>
      <c r="F31" s="85">
        <f>0</f>
        <v>0</v>
      </c>
      <c r="G31" s="86">
        <f>0</f>
        <v>0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</row>
    <row r="32" spans="1:255" ht="21" customHeight="1" thickBot="1" x14ac:dyDescent="0.3">
      <c r="A32" s="87">
        <v>11</v>
      </c>
      <c r="B32" s="88" t="s">
        <v>34</v>
      </c>
      <c r="C32" s="89">
        <f>C28+C30+C31</f>
        <v>3567442</v>
      </c>
      <c r="D32" s="90">
        <f>D28+D30+D31</f>
        <v>3793903</v>
      </c>
      <c r="E32" s="90">
        <f>E28+E30+E31</f>
        <v>0</v>
      </c>
      <c r="F32" s="90">
        <f>F28+F30+F31</f>
        <v>0</v>
      </c>
      <c r="G32" s="91">
        <f>G28+G30+G31</f>
        <v>0</v>
      </c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92"/>
      <c r="FL32" s="92"/>
      <c r="FM32" s="92"/>
      <c r="FN32" s="92"/>
      <c r="FO32" s="92"/>
      <c r="FP32" s="92"/>
      <c r="FQ32" s="92"/>
      <c r="FR32" s="92"/>
      <c r="FS32" s="92"/>
      <c r="FT32" s="92"/>
      <c r="FU32" s="92"/>
      <c r="FV32" s="92"/>
      <c r="FW32" s="92"/>
      <c r="FX32" s="92"/>
      <c r="FY32" s="92"/>
      <c r="FZ32" s="92"/>
      <c r="GA32" s="92"/>
      <c r="GB32" s="92"/>
      <c r="GC32" s="92"/>
      <c r="GD32" s="92"/>
      <c r="GE32" s="92"/>
      <c r="GF32" s="92"/>
      <c r="GG32" s="92"/>
      <c r="GH32" s="92"/>
      <c r="GI32" s="92"/>
      <c r="GJ32" s="92"/>
      <c r="GK32" s="92"/>
      <c r="GL32" s="92"/>
      <c r="GM32" s="92"/>
      <c r="GN32" s="92"/>
      <c r="GO32" s="92"/>
      <c r="GP32" s="92"/>
      <c r="GQ32" s="92"/>
      <c r="GR32" s="92"/>
      <c r="GS32" s="92"/>
      <c r="GT32" s="92"/>
      <c r="GU32" s="92"/>
      <c r="GV32" s="92"/>
      <c r="GW32" s="92"/>
      <c r="GX32" s="92"/>
      <c r="GY32" s="92"/>
      <c r="GZ32" s="92"/>
      <c r="HA32" s="92"/>
      <c r="HB32" s="92"/>
      <c r="HC32" s="92"/>
      <c r="HD32" s="92"/>
      <c r="HE32" s="92"/>
      <c r="HF32" s="92"/>
      <c r="HG32" s="92"/>
      <c r="HH32" s="92"/>
      <c r="HI32" s="92"/>
      <c r="HJ32" s="92"/>
      <c r="HK32" s="92"/>
      <c r="HL32" s="92"/>
      <c r="HM32" s="92"/>
      <c r="HN32" s="92"/>
      <c r="HO32" s="92"/>
      <c r="HP32" s="92"/>
      <c r="HQ32" s="92"/>
      <c r="HR32" s="92"/>
      <c r="HS32" s="92"/>
      <c r="HT32" s="92"/>
      <c r="HU32" s="92"/>
      <c r="HV32" s="92"/>
      <c r="HW32" s="92"/>
      <c r="HX32" s="92"/>
      <c r="HY32" s="92"/>
      <c r="HZ32" s="92"/>
      <c r="IA32" s="92"/>
      <c r="IB32" s="92"/>
      <c r="IC32" s="92"/>
      <c r="ID32" s="92"/>
      <c r="IE32" s="92"/>
      <c r="IF32" s="92"/>
      <c r="IG32" s="92"/>
      <c r="IH32" s="92"/>
      <c r="II32" s="92"/>
      <c r="IJ32" s="92"/>
      <c r="IK32" s="92"/>
      <c r="IL32" s="92"/>
      <c r="IM32" s="92"/>
      <c r="IN32" s="92"/>
      <c r="IO32" s="92"/>
      <c r="IP32" s="92"/>
      <c r="IQ32" s="92"/>
      <c r="IR32" s="92"/>
      <c r="IS32" s="92"/>
      <c r="IT32" s="92"/>
      <c r="IU32" s="92"/>
    </row>
    <row r="33" spans="1:255" ht="21" customHeight="1" x14ac:dyDescent="0.25">
      <c r="A33" s="93">
        <v>12</v>
      </c>
      <c r="B33" s="94" t="s">
        <v>35</v>
      </c>
      <c r="C33" s="95">
        <f>C8-C14+C36+C28+C30</f>
        <v>6960679</v>
      </c>
      <c r="D33" s="96">
        <f>(D8-(D14-D36))+D28+D30</f>
        <v>12427217</v>
      </c>
      <c r="E33" s="97">
        <f>(E8-(E14-E36))+E28+E30</f>
        <v>23592492</v>
      </c>
      <c r="F33" s="97">
        <f>(F8-(F14-F36))+F28+F30</f>
        <v>4016345</v>
      </c>
      <c r="G33" s="98">
        <f>(G8-(G14-G36))+G28+G30</f>
        <v>1438668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</row>
    <row r="34" spans="1:255" ht="21" customHeight="1" x14ac:dyDescent="0.25">
      <c r="A34" s="99">
        <v>13</v>
      </c>
      <c r="B34" s="72" t="s">
        <v>36</v>
      </c>
      <c r="C34" s="27">
        <f>C35+C36</f>
        <v>3310163</v>
      </c>
      <c r="D34" s="23">
        <f>D35+D36</f>
        <v>2568582</v>
      </c>
      <c r="E34" s="74">
        <f>E35+E36</f>
        <v>2220283</v>
      </c>
      <c r="F34" s="74">
        <f>F35+F36</f>
        <v>2016345</v>
      </c>
      <c r="G34" s="77">
        <f>G35+G36</f>
        <v>1438668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</row>
    <row r="35" spans="1:255" ht="21" customHeight="1" x14ac:dyDescent="0.25">
      <c r="A35" s="100" t="s">
        <v>6</v>
      </c>
      <c r="B35" s="22" t="s">
        <v>37</v>
      </c>
      <c r="C35" s="27">
        <f>2660163</f>
        <v>2660163</v>
      </c>
      <c r="D35" s="23">
        <f>2268582</f>
        <v>2268582</v>
      </c>
      <c r="E35" s="74">
        <f>1970283</f>
        <v>1970283</v>
      </c>
      <c r="F35" s="74">
        <f>1866345</f>
        <v>1866345</v>
      </c>
      <c r="G35" s="77">
        <f>1338668</f>
        <v>1338668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</row>
    <row r="36" spans="1:255" ht="21" customHeight="1" x14ac:dyDescent="0.25">
      <c r="A36" s="100" t="s">
        <v>8</v>
      </c>
      <c r="B36" s="22" t="s">
        <v>38</v>
      </c>
      <c r="C36" s="27">
        <f>650000</f>
        <v>650000</v>
      </c>
      <c r="D36" s="23">
        <f>300000</f>
        <v>300000</v>
      </c>
      <c r="E36" s="74">
        <f>250000</f>
        <v>250000</v>
      </c>
      <c r="F36" s="74">
        <f>150000</f>
        <v>150000</v>
      </c>
      <c r="G36" s="77">
        <f>100000</f>
        <v>100000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</row>
    <row r="37" spans="1:255" ht="21" customHeight="1" thickBot="1" x14ac:dyDescent="0.3">
      <c r="A37" s="101">
        <v>14</v>
      </c>
      <c r="B37" s="102" t="s">
        <v>39</v>
      </c>
      <c r="C37" s="29">
        <v>0</v>
      </c>
      <c r="D37" s="103">
        <v>0</v>
      </c>
      <c r="E37" s="104">
        <v>0</v>
      </c>
      <c r="F37" s="104">
        <v>0</v>
      </c>
      <c r="G37" s="105">
        <v>0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</row>
    <row r="38" spans="1:255" ht="21" customHeight="1" thickBot="1" x14ac:dyDescent="0.3">
      <c r="A38" s="87">
        <v>15</v>
      </c>
      <c r="B38" s="88" t="s">
        <v>55</v>
      </c>
      <c r="C38" s="89">
        <f>C35+C37</f>
        <v>2660163</v>
      </c>
      <c r="D38" s="90">
        <f>D35+D37</f>
        <v>2268582</v>
      </c>
      <c r="E38" s="106">
        <f>E35+E37</f>
        <v>1970283</v>
      </c>
      <c r="F38" s="106">
        <f>F35+F37</f>
        <v>1866345</v>
      </c>
      <c r="G38" s="91">
        <f>G35+G37</f>
        <v>1338668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</row>
    <row r="39" spans="1:255" ht="21" customHeight="1" thickBot="1" x14ac:dyDescent="0.3">
      <c r="A39" s="107">
        <v>16</v>
      </c>
      <c r="B39" s="108" t="s">
        <v>40</v>
      </c>
      <c r="C39" s="109">
        <f>C21-C22+C31</f>
        <v>0</v>
      </c>
      <c r="D39" s="110">
        <f>D21-D22+D31</f>
        <v>0</v>
      </c>
      <c r="E39" s="111">
        <f>E21-E22+E31</f>
        <v>0</v>
      </c>
      <c r="F39" s="111">
        <f>F21-F22+F31</f>
        <v>0</v>
      </c>
      <c r="G39" s="112">
        <f>G21-G22+G31</f>
        <v>0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</row>
    <row r="40" spans="1:255" ht="17.25" customHeight="1" thickBot="1" x14ac:dyDescent="0.3">
      <c r="A40" s="179"/>
      <c r="B40" s="180"/>
      <c r="C40" s="180"/>
      <c r="D40" s="180"/>
      <c r="E40" s="180"/>
      <c r="F40" s="180"/>
      <c r="G40" s="180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</row>
    <row r="41" spans="1:255" ht="21" customHeight="1" x14ac:dyDescent="0.25">
      <c r="A41" s="113">
        <v>17</v>
      </c>
      <c r="B41" s="36" t="s">
        <v>41</v>
      </c>
      <c r="C41" s="114">
        <f>7443878</f>
        <v>7443878</v>
      </c>
      <c r="D41" s="115">
        <f>5175296</f>
        <v>5175296</v>
      </c>
      <c r="E41" s="116">
        <v>3205013</v>
      </c>
      <c r="F41" s="116">
        <v>1338668</v>
      </c>
      <c r="G41" s="117">
        <v>0</v>
      </c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0"/>
      <c r="DI41" s="70"/>
      <c r="DJ41" s="70"/>
      <c r="DK41" s="70"/>
      <c r="DL41" s="70"/>
      <c r="DM41" s="70"/>
      <c r="DN41" s="70"/>
      <c r="DO41" s="70"/>
      <c r="DP41" s="70"/>
      <c r="DQ41" s="70"/>
      <c r="DR41" s="70"/>
      <c r="DS41" s="70"/>
      <c r="DT41" s="70"/>
      <c r="DU41" s="70"/>
      <c r="DV41" s="70"/>
      <c r="DW41" s="70"/>
      <c r="DX41" s="70"/>
      <c r="DY41" s="70"/>
      <c r="DZ41" s="70"/>
      <c r="EA41" s="70"/>
      <c r="EB41" s="70"/>
      <c r="EC41" s="70"/>
      <c r="ED41" s="70"/>
      <c r="EE41" s="70"/>
      <c r="EF41" s="70"/>
      <c r="EG41" s="70"/>
      <c r="EH41" s="70"/>
      <c r="EI41" s="70"/>
      <c r="EJ41" s="70"/>
      <c r="EK41" s="70"/>
      <c r="EL41" s="70"/>
      <c r="EM41" s="70"/>
      <c r="EN41" s="70"/>
      <c r="EO41" s="70"/>
      <c r="EP41" s="70"/>
      <c r="EQ41" s="70"/>
      <c r="ER41" s="70"/>
      <c r="ES41" s="70"/>
      <c r="ET41" s="70"/>
      <c r="EU41" s="70"/>
      <c r="EV41" s="70"/>
      <c r="EW41" s="70"/>
      <c r="EX41" s="70"/>
      <c r="EY41" s="70"/>
      <c r="EZ41" s="70"/>
      <c r="FA41" s="70"/>
      <c r="FB41" s="70"/>
      <c r="FC41" s="70"/>
      <c r="FD41" s="70"/>
      <c r="FE41" s="70"/>
      <c r="FF41" s="70"/>
      <c r="FG41" s="70"/>
      <c r="FH41" s="70"/>
      <c r="FI41" s="70"/>
      <c r="FJ41" s="70"/>
      <c r="FK41" s="70"/>
      <c r="FL41" s="70"/>
      <c r="FM41" s="70"/>
      <c r="FN41" s="70"/>
      <c r="FO41" s="70"/>
      <c r="FP41" s="70"/>
      <c r="FQ41" s="70"/>
      <c r="FR41" s="70"/>
      <c r="FS41" s="70"/>
      <c r="FT41" s="70"/>
      <c r="FU41" s="70"/>
      <c r="FV41" s="70"/>
      <c r="FW41" s="70"/>
      <c r="FX41" s="70"/>
      <c r="FY41" s="70"/>
      <c r="FZ41" s="70"/>
      <c r="GA41" s="70"/>
      <c r="GB41" s="70"/>
      <c r="GC41" s="70"/>
      <c r="GD41" s="70"/>
      <c r="GE41" s="70"/>
      <c r="GF41" s="70"/>
      <c r="GG41" s="70"/>
      <c r="GH41" s="70"/>
      <c r="GI41" s="70"/>
      <c r="GJ41" s="70"/>
      <c r="GK41" s="70"/>
      <c r="GL41" s="70"/>
      <c r="GM41" s="70"/>
      <c r="GN41" s="70"/>
      <c r="GO41" s="70"/>
      <c r="GP41" s="70"/>
      <c r="GQ41" s="70"/>
      <c r="GR41" s="70"/>
      <c r="GS41" s="70"/>
      <c r="GT41" s="70"/>
      <c r="GU41" s="70"/>
      <c r="GV41" s="70"/>
      <c r="GW41" s="70"/>
      <c r="GX41" s="70"/>
      <c r="GY41" s="70"/>
      <c r="GZ41" s="70"/>
      <c r="HA41" s="70"/>
      <c r="HB41" s="70"/>
      <c r="HC41" s="70"/>
      <c r="HD41" s="70"/>
      <c r="HE41" s="70"/>
      <c r="HF41" s="70"/>
      <c r="HG41" s="70"/>
      <c r="HH41" s="70"/>
      <c r="HI41" s="70"/>
      <c r="HJ41" s="70"/>
      <c r="HK41" s="70"/>
      <c r="HL41" s="70"/>
      <c r="HM41" s="70"/>
      <c r="HN41" s="70"/>
      <c r="HO41" s="70"/>
      <c r="HP41" s="70"/>
      <c r="HQ41" s="70"/>
      <c r="HR41" s="70"/>
      <c r="HS41" s="70"/>
      <c r="HT41" s="70"/>
      <c r="HU41" s="70"/>
      <c r="HV41" s="70"/>
      <c r="HW41" s="70"/>
      <c r="HX41" s="70"/>
      <c r="HY41" s="70"/>
      <c r="HZ41" s="70"/>
      <c r="IA41" s="70"/>
      <c r="IB41" s="70"/>
      <c r="IC41" s="70"/>
      <c r="ID41" s="70"/>
      <c r="IE41" s="70"/>
      <c r="IF41" s="70"/>
      <c r="IG41" s="70"/>
      <c r="IH41" s="70"/>
      <c r="II41" s="70"/>
      <c r="IJ41" s="70"/>
      <c r="IK41" s="70"/>
      <c r="IL41" s="70"/>
      <c r="IM41" s="70"/>
      <c r="IN41" s="70"/>
      <c r="IO41" s="70"/>
      <c r="IP41" s="70"/>
      <c r="IQ41" s="70"/>
      <c r="IR41" s="70"/>
      <c r="IS41" s="70"/>
      <c r="IT41" s="70"/>
      <c r="IU41" s="70"/>
    </row>
    <row r="42" spans="1:255" ht="21" customHeight="1" x14ac:dyDescent="0.25">
      <c r="A42" s="21" t="s">
        <v>6</v>
      </c>
      <c r="B42" s="22" t="s">
        <v>42</v>
      </c>
      <c r="C42" s="27">
        <f>4549912</f>
        <v>4549912</v>
      </c>
      <c r="D42" s="118">
        <f>3273567</f>
        <v>3273567</v>
      </c>
      <c r="E42" s="74">
        <v>1997222</v>
      </c>
      <c r="F42" s="75">
        <v>720877</v>
      </c>
      <c r="G42" s="76">
        <v>0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</row>
    <row r="43" spans="1:255" ht="26.25" customHeight="1" x14ac:dyDescent="0.25">
      <c r="A43" s="21" t="s">
        <v>8</v>
      </c>
      <c r="B43" s="22" t="s">
        <v>43</v>
      </c>
      <c r="C43" s="27">
        <f>1276345</f>
        <v>1276345</v>
      </c>
      <c r="D43" s="118">
        <f>1276345</f>
        <v>1276345</v>
      </c>
      <c r="E43" s="74">
        <v>1276345</v>
      </c>
      <c r="F43" s="75">
        <v>1276345</v>
      </c>
      <c r="G43" s="76">
        <v>720877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</row>
    <row r="44" spans="1:255" ht="33.75" customHeight="1" x14ac:dyDescent="0.25">
      <c r="A44" s="119">
        <v>18</v>
      </c>
      <c r="B44" s="72" t="s">
        <v>44</v>
      </c>
      <c r="C44" s="120">
        <f>0</f>
        <v>0</v>
      </c>
      <c r="D44" s="121">
        <f>0</f>
        <v>0</v>
      </c>
      <c r="E44" s="122">
        <f>0</f>
        <v>0</v>
      </c>
      <c r="F44" s="123">
        <f>0</f>
        <v>0</v>
      </c>
      <c r="G44" s="124">
        <f>0</f>
        <v>0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</row>
    <row r="45" spans="1:255" ht="21" customHeight="1" x14ac:dyDescent="0.25">
      <c r="A45" s="119">
        <v>19</v>
      </c>
      <c r="B45" s="72" t="s">
        <v>45</v>
      </c>
      <c r="C45" s="125" t="s">
        <v>29</v>
      </c>
      <c r="D45" s="126" t="s">
        <v>29</v>
      </c>
      <c r="E45" s="127">
        <f>'[1]Wlk. inform.'!H11</f>
        <v>2.3417866964149579E-2</v>
      </c>
      <c r="F45" s="127">
        <f>'[1]Wlk. inform.'!I11</f>
        <v>2.3896669140820795E-2</v>
      </c>
      <c r="G45" s="173">
        <f>'[1]Wlk. inform.'!J11</f>
        <v>1.7155027025402753E-2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  <c r="IS45" s="13"/>
      <c r="IT45" s="13"/>
      <c r="IU45" s="13"/>
    </row>
    <row r="46" spans="1:255" ht="21" customHeight="1" x14ac:dyDescent="0.25">
      <c r="A46" s="119" t="s">
        <v>6</v>
      </c>
      <c r="B46" s="72" t="s">
        <v>46</v>
      </c>
      <c r="C46" s="125" t="s">
        <v>29</v>
      </c>
      <c r="D46" s="128" t="s">
        <v>29</v>
      </c>
      <c r="E46" s="127">
        <f>'[1]Wlk. inform.'!H13</f>
        <v>2.5624305021632748E-2</v>
      </c>
      <c r="F46" s="127">
        <f>'[1]Wlk. inform.'!I13</f>
        <v>7.2696640680635319E-2</v>
      </c>
      <c r="G46" s="173">
        <f>'[1]Wlk. inform.'!J13</f>
        <v>6.9813582701373764E-2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</row>
    <row r="47" spans="1:255" ht="21" customHeight="1" x14ac:dyDescent="0.25">
      <c r="A47" s="119">
        <v>20</v>
      </c>
      <c r="B47" s="129" t="s">
        <v>47</v>
      </c>
      <c r="C47" s="130" t="s">
        <v>29</v>
      </c>
      <c r="D47" s="131" t="s">
        <v>29</v>
      </c>
      <c r="E47" s="127" t="s">
        <v>48</v>
      </c>
      <c r="F47" s="132" t="s">
        <v>48</v>
      </c>
      <c r="G47" s="133" t="s">
        <v>48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  <c r="IS47" s="13"/>
      <c r="IT47" s="13"/>
      <c r="IU47" s="13"/>
    </row>
    <row r="48" spans="1:255" ht="21" customHeight="1" x14ac:dyDescent="0.25">
      <c r="A48" s="119">
        <v>21</v>
      </c>
      <c r="B48" s="72" t="s">
        <v>49</v>
      </c>
      <c r="C48" s="130">
        <f>C34/C8</f>
        <v>4.0796961315872127E-2</v>
      </c>
      <c r="D48" s="131">
        <f>D34/D8</f>
        <v>3.18596652657668E-2</v>
      </c>
      <c r="E48" s="134" t="s">
        <v>29</v>
      </c>
      <c r="F48" s="134" t="s">
        <v>29</v>
      </c>
      <c r="G48" s="135" t="s">
        <v>29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  <c r="IO48" s="13"/>
      <c r="IP48" s="13"/>
      <c r="IQ48" s="13"/>
      <c r="IR48" s="13"/>
      <c r="IS48" s="13"/>
      <c r="IT48" s="13"/>
      <c r="IU48" s="13"/>
    </row>
    <row r="49" spans="1:255" ht="21" customHeight="1" thickBot="1" x14ac:dyDescent="0.3">
      <c r="A49" s="107">
        <v>22</v>
      </c>
      <c r="B49" s="108" t="s">
        <v>50</v>
      </c>
      <c r="C49" s="136">
        <f>(C41-C42)/C8</f>
        <v>3.5667433583013643E-2</v>
      </c>
      <c r="D49" s="137">
        <f>(D41-D42)/D8</f>
        <v>2.3588286987217631E-2</v>
      </c>
      <c r="E49" s="138" t="s">
        <v>29</v>
      </c>
      <c r="F49" s="138" t="s">
        <v>29</v>
      </c>
      <c r="G49" s="139" t="s">
        <v>29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  <c r="IO49" s="13"/>
      <c r="IP49" s="13"/>
      <c r="IQ49" s="13"/>
      <c r="IR49" s="13"/>
      <c r="IS49" s="13"/>
      <c r="IT49" s="13"/>
      <c r="IU49" s="13"/>
    </row>
    <row r="50" spans="1:255" ht="16.5" thickBot="1" x14ac:dyDescent="0.3">
      <c r="A50" s="181"/>
      <c r="B50" s="182"/>
      <c r="C50" s="182"/>
      <c r="D50" s="182"/>
      <c r="E50" s="182"/>
      <c r="F50" s="182"/>
      <c r="G50" s="182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  <c r="IM50" s="13"/>
      <c r="IN50" s="13"/>
      <c r="IO50" s="13"/>
      <c r="IP50" s="13"/>
      <c r="IQ50" s="13"/>
      <c r="IR50" s="13"/>
      <c r="IS50" s="13"/>
      <c r="IT50" s="13"/>
      <c r="IU50" s="13"/>
    </row>
    <row r="51" spans="1:255" ht="18" customHeight="1" thickBot="1" x14ac:dyDescent="0.3">
      <c r="A51" s="9" t="s">
        <v>3</v>
      </c>
      <c r="B51" s="9" t="s">
        <v>4</v>
      </c>
      <c r="C51" s="7">
        <v>2012</v>
      </c>
      <c r="D51" s="140">
        <v>2013</v>
      </c>
      <c r="E51" s="7">
        <v>2014</v>
      </c>
      <c r="F51" s="140">
        <v>2015</v>
      </c>
      <c r="G51" s="7">
        <v>2016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  <c r="HF51" s="13"/>
      <c r="HG51" s="13"/>
      <c r="HH51" s="13"/>
      <c r="HI51" s="13"/>
      <c r="HJ51" s="13"/>
      <c r="HK51" s="13"/>
      <c r="HL51" s="13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  <c r="IQ51" s="13"/>
      <c r="IR51" s="13"/>
      <c r="IS51" s="13"/>
      <c r="IT51" s="13"/>
      <c r="IU51" s="13"/>
    </row>
    <row r="52" spans="1:255" ht="35.25" customHeight="1" x14ac:dyDescent="0.25">
      <c r="A52" s="141">
        <v>1</v>
      </c>
      <c r="B52" s="142" t="s">
        <v>51</v>
      </c>
      <c r="C52" s="143">
        <f>'[1]Wlk. inform.'!F12</f>
        <v>1.3162596145907349E-2</v>
      </c>
      <c r="D52" s="143">
        <f>'[1]Wlk. inform.'!G12</f>
        <v>9.9372140900288813E-2</v>
      </c>
      <c r="E52" s="143">
        <f>'[1]Wlk. inform.'!H12</f>
        <v>0.1055551849957098</v>
      </c>
      <c r="F52" s="143">
        <f>'[1]Wlk. inform.'!I12</f>
        <v>4.5134222081226498E-3</v>
      </c>
      <c r="G52" s="174">
        <f>'[1]Wlk. inform.'!J12</f>
        <v>4.5950428655673345E-3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  <c r="IN52" s="13"/>
      <c r="IO52" s="13"/>
      <c r="IP52" s="13"/>
      <c r="IQ52" s="13"/>
      <c r="IR52" s="13"/>
      <c r="IS52" s="13"/>
      <c r="IT52" s="13"/>
      <c r="IU52" s="13"/>
    </row>
    <row r="53" spans="1:255" ht="21.75" customHeight="1" x14ac:dyDescent="0.25">
      <c r="A53" s="144">
        <v>2</v>
      </c>
      <c r="B53" s="145" t="s">
        <v>52</v>
      </c>
      <c r="C53" s="146">
        <f>'[1]Wlk. inform.'!F13</f>
        <v>1.0025784488198164E-2</v>
      </c>
      <c r="D53" s="146">
        <f>'[1]Wlk. inform.'!G13</f>
        <v>-5.7498296768875292E-3</v>
      </c>
      <c r="E53" s="146">
        <f>'[1]Wlk. inform.'!H13</f>
        <v>2.5624305021632748E-2</v>
      </c>
      <c r="F53" s="146">
        <f>'[1]Wlk. inform.'!I13</f>
        <v>7.2696640680635319E-2</v>
      </c>
      <c r="G53" s="175">
        <f>'[1]Wlk. inform.'!J13</f>
        <v>6.9813582701373764E-2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  <c r="IP53" s="13"/>
      <c r="IQ53" s="13"/>
      <c r="IR53" s="13"/>
      <c r="IS53" s="13"/>
      <c r="IT53" s="13"/>
      <c r="IU53" s="13"/>
    </row>
    <row r="54" spans="1:255" ht="21.75" customHeight="1" x14ac:dyDescent="0.25">
      <c r="A54" s="144">
        <v>3</v>
      </c>
      <c r="B54" s="145" t="s">
        <v>53</v>
      </c>
      <c r="C54" s="146">
        <f>'[1]Wlk. inform.'!F11</f>
        <v>4.0796961315872127E-2</v>
      </c>
      <c r="D54" s="146">
        <f>'[1]Wlk. inform.'!G11</f>
        <v>3.18596652657668E-2</v>
      </c>
      <c r="E54" s="146">
        <f>'[1]Wlk. inform.'!H11</f>
        <v>2.3417866964149579E-2</v>
      </c>
      <c r="F54" s="146">
        <f>'[1]Wlk. inform.'!I11</f>
        <v>2.3896669140820795E-2</v>
      </c>
      <c r="G54" s="175">
        <f>'[1]Wlk. inform.'!J11</f>
        <v>1.7155027025402753E-2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  <c r="IQ54" s="13"/>
      <c r="IR54" s="13"/>
      <c r="IS54" s="13"/>
      <c r="IT54" s="13"/>
      <c r="IU54" s="13"/>
    </row>
    <row r="55" spans="1:255" ht="21.75" customHeight="1" thickBot="1" x14ac:dyDescent="0.3">
      <c r="A55" s="147">
        <v>4</v>
      </c>
      <c r="B55" s="148" t="s">
        <v>54</v>
      </c>
      <c r="C55" s="149" t="b">
        <f>C54&lt;=C53</f>
        <v>0</v>
      </c>
      <c r="D55" s="149" t="b">
        <f t="shared" ref="D55:G55" si="0">D54&lt;=D53</f>
        <v>0</v>
      </c>
      <c r="E55" s="172" t="b">
        <f t="shared" si="0"/>
        <v>1</v>
      </c>
      <c r="F55" s="149" t="b">
        <f t="shared" si="0"/>
        <v>1</v>
      </c>
      <c r="G55" s="176" t="b">
        <f t="shared" si="0"/>
        <v>1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  <c r="IS55" s="13"/>
      <c r="IT55" s="13"/>
      <c r="IU55" s="13"/>
    </row>
    <row r="56" spans="1:255" ht="26.25" customHeight="1" x14ac:dyDescent="0.25">
      <c r="A56" s="150"/>
      <c r="B56" s="150"/>
      <c r="C56" s="151"/>
      <c r="D56" s="151"/>
      <c r="E56" s="150"/>
      <c r="F56" s="150"/>
      <c r="G56" s="150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  <c r="IS56" s="13"/>
      <c r="IT56" s="13"/>
      <c r="IU56" s="13"/>
    </row>
  </sheetData>
  <mergeCells count="3">
    <mergeCell ref="A5:G5"/>
    <mergeCell ref="A40:G40"/>
    <mergeCell ref="A50:G50"/>
  </mergeCells>
  <printOptions horizontalCentered="1"/>
  <pageMargins left="0.31496062992125984" right="0.31496062992125984" top="0.74803149606299213" bottom="0.55118110236220474" header="0.31496062992125984" footer="0.31496062992125984"/>
  <pageSetup paperSize="9" scale="62" orientation="landscape" r:id="rId1"/>
  <headerFooter>
    <oddFooter>Strona &amp;P</oddFooter>
  </headerFooter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B25:C3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Arkusz1!Tytuły_wydruku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2012-03-30T10:31:18Z</dcterms:modified>
</cp:coreProperties>
</file>